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9375" windowHeight="4965" tabRatio="557"/>
  </bookViews>
  <sheets>
    <sheet name="Ratio Analysi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4" sheetId="14" r:id="rId13"/>
    <sheet name="Sheet15" sheetId="15" r:id="rId14"/>
    <sheet name="Sheet16" sheetId="16" r:id="rId15"/>
  </sheets>
  <calcPr calcId="124519"/>
</workbook>
</file>

<file path=xl/calcChain.xml><?xml version="1.0" encoding="utf-8"?>
<calcChain xmlns="http://schemas.openxmlformats.org/spreadsheetml/2006/main">
  <c r="B10" i="1"/>
  <c r="C48" s="1"/>
  <c r="E10"/>
  <c r="F10"/>
  <c r="B13"/>
  <c r="C13"/>
  <c r="C80" s="1"/>
  <c r="D13"/>
  <c r="D20" s="1"/>
  <c r="E13"/>
  <c r="F13"/>
  <c r="B19"/>
  <c r="C19"/>
  <c r="D19"/>
  <c r="E19"/>
  <c r="F19"/>
  <c r="E20"/>
  <c r="F20"/>
  <c r="E22"/>
  <c r="F22"/>
  <c r="E24"/>
  <c r="F24"/>
  <c r="E26"/>
  <c r="F26"/>
  <c r="B35"/>
  <c r="C35"/>
  <c r="D35"/>
  <c r="D46" s="1"/>
  <c r="E35"/>
  <c r="F35"/>
  <c r="B42"/>
  <c r="C42"/>
  <c r="C44" s="1"/>
  <c r="C73" s="1"/>
  <c r="D42"/>
  <c r="D44" s="1"/>
  <c r="D73" s="1"/>
  <c r="E42"/>
  <c r="F42"/>
  <c r="B44"/>
  <c r="B73" s="1"/>
  <c r="E44"/>
  <c r="F44"/>
  <c r="B46"/>
  <c r="B96" s="1"/>
  <c r="E46"/>
  <c r="F46"/>
  <c r="B48"/>
  <c r="E48"/>
  <c r="F48"/>
  <c r="B54"/>
  <c r="B56" s="1"/>
  <c r="C54"/>
  <c r="C69" s="1"/>
  <c r="D54"/>
  <c r="D56" s="1"/>
  <c r="E54"/>
  <c r="F54"/>
  <c r="E56"/>
  <c r="F56"/>
  <c r="B61"/>
  <c r="C61"/>
  <c r="D61"/>
  <c r="D77" s="1"/>
  <c r="E61"/>
  <c r="F61"/>
  <c r="E62"/>
  <c r="F62"/>
  <c r="E63"/>
  <c r="F63"/>
  <c r="E68"/>
  <c r="F68"/>
  <c r="E69"/>
  <c r="F69"/>
  <c r="B71"/>
  <c r="C71"/>
  <c r="D71"/>
  <c r="E71"/>
  <c r="F71"/>
  <c r="B72"/>
  <c r="C72"/>
  <c r="D72"/>
  <c r="E72"/>
  <c r="F72"/>
  <c r="E73"/>
  <c r="F73"/>
  <c r="E74"/>
  <c r="F74"/>
  <c r="E76"/>
  <c r="F76"/>
  <c r="B77"/>
  <c r="C77"/>
  <c r="E77"/>
  <c r="F77"/>
  <c r="E78"/>
  <c r="F78"/>
  <c r="B80"/>
  <c r="D80"/>
  <c r="E80"/>
  <c r="F80"/>
  <c r="E81"/>
  <c r="F81"/>
  <c r="E82"/>
  <c r="F82"/>
  <c r="E84"/>
  <c r="F84"/>
  <c r="E85"/>
  <c r="F85"/>
  <c r="E87"/>
  <c r="E89" s="1"/>
  <c r="F87"/>
  <c r="F89" s="1"/>
  <c r="E92"/>
  <c r="F92"/>
  <c r="E93"/>
  <c r="F93"/>
  <c r="E94"/>
  <c r="F94"/>
  <c r="E95"/>
  <c r="F95"/>
  <c r="E96"/>
  <c r="F96"/>
  <c r="E97"/>
  <c r="F97"/>
  <c r="B103"/>
  <c r="C103"/>
  <c r="E103"/>
  <c r="F103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E113"/>
  <c r="F113"/>
  <c r="C116"/>
  <c r="E116"/>
  <c r="F116"/>
  <c r="C117"/>
  <c r="E117"/>
  <c r="F117"/>
  <c r="C120"/>
  <c r="D120"/>
  <c r="E120"/>
  <c r="F120"/>
  <c r="C121"/>
  <c r="D121"/>
  <c r="E121"/>
  <c r="F121"/>
  <c r="C122"/>
  <c r="D122"/>
  <c r="E122"/>
  <c r="F122"/>
  <c r="C123"/>
  <c r="D123"/>
  <c r="E123"/>
  <c r="F123"/>
  <c r="C125"/>
  <c r="D125"/>
  <c r="E125"/>
  <c r="F125"/>
  <c r="E127"/>
  <c r="F127"/>
  <c r="D116" l="1"/>
  <c r="D117" s="1"/>
  <c r="B20"/>
  <c r="B22" s="1"/>
  <c r="B24" s="1"/>
  <c r="D69"/>
  <c r="B69"/>
  <c r="D68"/>
  <c r="D96"/>
  <c r="D76"/>
  <c r="D74"/>
  <c r="D93"/>
  <c r="B81"/>
  <c r="B62"/>
  <c r="B63" s="1"/>
  <c r="B76"/>
  <c r="D78"/>
  <c r="D81"/>
  <c r="D22"/>
  <c r="D24" s="1"/>
  <c r="B68"/>
  <c r="D62"/>
  <c r="D63" s="1"/>
  <c r="C46"/>
  <c r="B93"/>
  <c r="B74"/>
  <c r="C68"/>
  <c r="C56"/>
  <c r="C20"/>
  <c r="C10"/>
  <c r="B78" l="1"/>
  <c r="C22"/>
  <c r="C24" s="1"/>
  <c r="C78"/>
  <c r="C81"/>
  <c r="D84"/>
  <c r="D92"/>
  <c r="D94" s="1"/>
  <c r="D85"/>
  <c r="D104"/>
  <c r="D113" s="1"/>
  <c r="D127" s="1"/>
  <c r="D26"/>
  <c r="D87" s="1"/>
  <c r="D89" s="1"/>
  <c r="D82"/>
  <c r="D95"/>
  <c r="D97" s="1"/>
  <c r="C62"/>
  <c r="C63" s="1"/>
  <c r="C76"/>
  <c r="C74"/>
  <c r="C93"/>
  <c r="C96"/>
  <c r="B84"/>
  <c r="B92"/>
  <c r="B94" s="1"/>
  <c r="B82"/>
  <c r="B95"/>
  <c r="B97" s="1"/>
  <c r="B85"/>
  <c r="B26"/>
  <c r="B87" s="1"/>
  <c r="B89" s="1"/>
  <c r="D10"/>
  <c r="D48"/>
  <c r="D103"/>
  <c r="C85" l="1"/>
  <c r="C104"/>
  <c r="C113" s="1"/>
  <c r="C127" s="1"/>
  <c r="C95"/>
  <c r="C97" s="1"/>
  <c r="C84"/>
  <c r="C92"/>
  <c r="C94" s="1"/>
  <c r="C26"/>
  <c r="C87" s="1"/>
  <c r="C89" s="1"/>
  <c r="C82"/>
</calcChain>
</file>

<file path=xl/sharedStrings.xml><?xml version="1.0" encoding="utf-8"?>
<sst xmlns="http://schemas.openxmlformats.org/spreadsheetml/2006/main" count="145" uniqueCount="138">
  <si>
    <t xml:space="preserve">                      FINANCIAL ANALYSIS MODEL</t>
  </si>
  <si>
    <r>
      <t xml:space="preserve">            Note</t>
    </r>
    <r>
      <rPr>
        <b/>
        <sz val="12"/>
        <rFont val="Times New Roman"/>
      </rPr>
      <t xml:space="preserve">:  Enter data in </t>
    </r>
    <r>
      <rPr>
        <b/>
        <sz val="12"/>
        <color indexed="12"/>
        <rFont val="Times New Roman"/>
      </rPr>
      <t>Blue-coded cells</t>
    </r>
    <r>
      <rPr>
        <b/>
        <sz val="12"/>
        <rFont val="Times New Roman"/>
      </rPr>
      <t>; Black cells are computer generated</t>
    </r>
  </si>
  <si>
    <t>FIRST CALENDAR YEAR OF DATA</t>
  </si>
  <si>
    <t>NUMBER OF YEARS OF DATA</t>
  </si>
  <si>
    <t>INCOME STATEMENT</t>
  </si>
  <si>
    <t>Sales Revenue</t>
  </si>
  <si>
    <t>Less:  Cost of Goods Sold</t>
  </si>
  <si>
    <t>Gross Profits</t>
  </si>
  <si>
    <t>=IF($B$8&gt;4,F13-F14," ")</t>
  </si>
  <si>
    <t>Less: Operating Expenses:</t>
  </si>
  <si>
    <t>Selling Expense</t>
  </si>
  <si>
    <t>General / Admin. Exp.</t>
  </si>
  <si>
    <t>Lease Expense</t>
  </si>
  <si>
    <t>Depreciation Expense</t>
  </si>
  <si>
    <t>Total Operating Expenses</t>
  </si>
  <si>
    <t>=IF($B$8&gt;4,SUM(F17:F20)," ")</t>
  </si>
  <si>
    <t>Operating Profits</t>
  </si>
  <si>
    <t>=IF($B$8&gt;4,F15-F21," ")</t>
  </si>
  <si>
    <t>Less: Interest Expense</t>
  </si>
  <si>
    <t>Net Profits Before Taxes</t>
  </si>
  <si>
    <t>=IF($B$8&gt;4,F22-F23," ")</t>
  </si>
  <si>
    <t>Less: Taxes</t>
  </si>
  <si>
    <t>Net Profit After Taxes</t>
  </si>
  <si>
    <t>=IF($B$8&gt;4,F24-F25," ")</t>
  </si>
  <si>
    <t>Less: Pref. Stock Divds.</t>
  </si>
  <si>
    <t>Earnings Available for Common Stockholders</t>
  </si>
  <si>
    <t>IF($B$8&gt;4,F26-F27," ")</t>
  </si>
  <si>
    <t>BALANCE SHEET</t>
  </si>
  <si>
    <t>Current Assets:</t>
  </si>
  <si>
    <t>Cash</t>
  </si>
  <si>
    <t>Marketable Securities</t>
  </si>
  <si>
    <t>Accounts Receivable</t>
  </si>
  <si>
    <t>Inventories</t>
  </si>
  <si>
    <t>Total Current Assets</t>
  </si>
  <si>
    <t>=IF($B$8&gt;4,SUM(F33:F36)," ")</t>
  </si>
  <si>
    <t>Gross Fixed Assets (at cost):</t>
  </si>
  <si>
    <t>Land &amp; Buildings</t>
  </si>
  <si>
    <t>Machinery and Equipment</t>
  </si>
  <si>
    <t>Furniture &amp; Fixtures</t>
  </si>
  <si>
    <t>Vehicles</t>
  </si>
  <si>
    <t>Other (Inc. Fin. Leases)</t>
  </si>
  <si>
    <t>Total Gross Fixed Assets</t>
  </si>
  <si>
    <t>=IF($B$8&gt;4,SUM(F39:F43)," ")</t>
  </si>
  <si>
    <t>Less:  Accumulated Depreciation</t>
  </si>
  <si>
    <t>Net Fixed Assets</t>
  </si>
  <si>
    <t>=IF($B$8&gt;4,F44-F45," ")</t>
  </si>
  <si>
    <t>Other Assets</t>
  </si>
  <si>
    <t>Total Assets</t>
  </si>
  <si>
    <t>=IF($B$8&gt;4,F37+F46," ")</t>
  </si>
  <si>
    <t>Current Liabilities:</t>
  </si>
  <si>
    <t>Accounts Payable</t>
  </si>
  <si>
    <t>Notes Payable</t>
  </si>
  <si>
    <t>Accruals</t>
  </si>
  <si>
    <t>Taxes Payable</t>
  </si>
  <si>
    <t>Other Current Liabilities</t>
  </si>
  <si>
    <t>Total Current Liabilities</t>
  </si>
  <si>
    <t>=IF($B$8&gt;4,SUM(F51:F55)," ")</t>
  </si>
  <si>
    <t>L / T Debt (Inc. Financial Leases)</t>
  </si>
  <si>
    <t>Total Liabilities</t>
  </si>
  <si>
    <t>=IF($B$8&gt;4,F56+F57," ")</t>
  </si>
  <si>
    <t>Preferred Stock</t>
  </si>
  <si>
    <t>Common Stock</t>
  </si>
  <si>
    <t>Paid-In Capital In Excess of Par</t>
  </si>
  <si>
    <t>Retained Earnings</t>
  </si>
  <si>
    <t>Total Stockholders' Equity</t>
  </si>
  <si>
    <t>=IF($B$8&gt;4,SUM(F59:F62)," ")</t>
  </si>
  <si>
    <t>Total Liabs. &amp; Stockhldrs' Equity</t>
  </si>
  <si>
    <t>=IF($B$8&gt;4,F58+F63," ")</t>
  </si>
  <si>
    <t>Reconciliation TA &amp; TL/SE</t>
  </si>
  <si>
    <t>=IF($B$8&gt;4,F64-F48," ")</t>
  </si>
  <si>
    <t>Number of Common Shares</t>
  </si>
  <si>
    <t>End-of-Year Stock Price</t>
  </si>
  <si>
    <t>RATIO ANALYSIS</t>
  </si>
  <si>
    <t>Current Ratio</t>
  </si>
  <si>
    <t>=IF($B$8&gt;4,F37/F56," ")</t>
  </si>
  <si>
    <t>Quick Ratio</t>
  </si>
  <si>
    <t>=IF($B$8&gt;4,(F37-F36)/F56," ")</t>
  </si>
  <si>
    <t>Inventory Turnover</t>
  </si>
  <si>
    <t>=IF($B$8&gt;4,F14/F36," ")</t>
  </si>
  <si>
    <t>Average Collection Period</t>
  </si>
  <si>
    <t>=IF($B$8&gt;4,F35/(F13/360)," ")</t>
  </si>
  <si>
    <t>Fixed Asset Turnover</t>
  </si>
  <si>
    <t>=IF($B$8&gt;4,F13/F46," ")</t>
  </si>
  <si>
    <t>Total Asset Turnover</t>
  </si>
  <si>
    <t>=IF($B$8&gt;4,F13/F48," ")</t>
  </si>
  <si>
    <t>Debt Ratio</t>
  </si>
  <si>
    <t>=IF($B$8&gt;4,F58/F48," ")</t>
  </si>
  <si>
    <t>Debt-to-Equity</t>
  </si>
  <si>
    <t>=IF($B$8&gt;4,F57/F63," ")</t>
  </si>
  <si>
    <t>Times Interest Earned</t>
  </si>
  <si>
    <t>=IF($B$8&gt;4,F22/F23," ")</t>
  </si>
  <si>
    <t>Gross Profit Margin</t>
  </si>
  <si>
    <t>=IF($B$8&gt;4,F15/F13," ")</t>
  </si>
  <si>
    <t>Operating Profit Margin</t>
  </si>
  <si>
    <t>=IF($B$8&gt;4,F22/F13," ")</t>
  </si>
  <si>
    <t>Net Profit Margin</t>
  </si>
  <si>
    <t>=IF($B$8&gt;4,F26/F13," ")</t>
  </si>
  <si>
    <t>Return on Total Assets (ROA)</t>
  </si>
  <si>
    <t>=IF($B$8&gt;4,F26/F48," ")</t>
  </si>
  <si>
    <t>Return on Equity (ROE)</t>
  </si>
  <si>
    <t>=IF($B$8&gt;4,F26/F63," ")</t>
  </si>
  <si>
    <t>Earnings Per Share</t>
  </si>
  <si>
    <t>=IF($B$8&gt;4,F28/F66," ")</t>
  </si>
  <si>
    <t>Price/Earnings Ratio</t>
  </si>
  <si>
    <t>=IF(AND(F67&gt;0,F89&gt;0),F67/F89,"  ")</t>
  </si>
  <si>
    <t>DUPONT ANALYSIS</t>
  </si>
  <si>
    <t>Net Profit AT/Sales</t>
  </si>
  <si>
    <t>Sales/Total Assets</t>
  </si>
  <si>
    <t>ROA</t>
  </si>
  <si>
    <t>=IF($B$8&gt;4,F94*F95," ")</t>
  </si>
  <si>
    <t>Net Profit AT/Total Assets</t>
  </si>
  <si>
    <t>Total Assets/Stockhldrs. Equity</t>
  </si>
  <si>
    <t>=IF($B$8&gt;4,F48/F63," ")</t>
  </si>
  <si>
    <t>ROE</t>
  </si>
  <si>
    <t>=IF($B$8&gt;4,F97*F98," ")</t>
  </si>
  <si>
    <t>STATEMENT OF CASH FLOWS</t>
  </si>
  <si>
    <t>CASH FLOW FROM OPERATING ACTIVITIES</t>
  </si>
  <si>
    <t>Depreciation</t>
  </si>
  <si>
    <t>Decrease in Accts. Receiv.</t>
  </si>
  <si>
    <t>Decrease in Inventories</t>
  </si>
  <si>
    <t>Decrease in Other Assets</t>
  </si>
  <si>
    <t>Increase in Accounts Pay.</t>
  </si>
  <si>
    <t>Increase in Accruals</t>
  </si>
  <si>
    <t>Increase in Taxes Payable</t>
  </si>
  <si>
    <t>Increase in Other Cur. Lia.</t>
  </si>
  <si>
    <t>Cash Flow from Oper. Act.</t>
  </si>
  <si>
    <t>CASH FLOW FROM INVESTMENT ACTIVITIES</t>
  </si>
  <si>
    <t>Increase in Gross Fixed Assets</t>
  </si>
  <si>
    <t>Cash Flow from Investments</t>
  </si>
  <si>
    <t>CASH FLOW FROM FINANCING ACTIVITIES</t>
  </si>
  <si>
    <t>Increase in Notes Payable</t>
  </si>
  <si>
    <t>Increase in Long-Term Debt</t>
  </si>
  <si>
    <t>Changes in Stockholders' Equity</t>
  </si>
  <si>
    <t>Preferred Dividends Paid</t>
  </si>
  <si>
    <r>
      <t>Common Dividends Paid (</t>
    </r>
    <r>
      <rPr>
        <b/>
        <sz val="10"/>
        <color indexed="10"/>
        <rFont val="Times New Roman"/>
      </rPr>
      <t>-</t>
    </r>
    <r>
      <rPr>
        <b/>
        <sz val="10"/>
        <color indexed="12"/>
        <rFont val="Times New Roman"/>
      </rPr>
      <t>)</t>
    </r>
  </si>
  <si>
    <t xml:space="preserve"> </t>
  </si>
  <si>
    <t>Cash Flow from Financing Activities</t>
  </si>
  <si>
    <t>Net Incr. in Cash / Mark. Securities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</si>
</sst>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14">
    <font>
      <sz val="10"/>
      <name val="Arial"/>
    </font>
    <font>
      <sz val="10"/>
      <name val="Arial"/>
    </font>
    <font>
      <b/>
      <sz val="14"/>
      <color indexed="10"/>
      <name val="Times New Roman"/>
    </font>
    <font>
      <b/>
      <sz val="10"/>
      <name val="Times New Roman"/>
    </font>
    <font>
      <sz val="10"/>
      <name val="Times New Roman"/>
    </font>
    <font>
      <b/>
      <sz val="12"/>
      <color indexed="10"/>
      <name val="Times New Roman"/>
    </font>
    <font>
      <b/>
      <sz val="12"/>
      <name val="Times New Roman"/>
    </font>
    <font>
      <b/>
      <sz val="12"/>
      <color indexed="12"/>
      <name val="Times New Roman"/>
    </font>
    <font>
      <b/>
      <sz val="10"/>
      <color indexed="12"/>
      <name val="Times New Roman"/>
    </font>
    <font>
      <b/>
      <sz val="10"/>
      <color indexed="10"/>
      <name val="Times New Roman"/>
    </font>
    <font>
      <b/>
      <sz val="10"/>
      <color indexed="8"/>
      <name val="Times New Roman"/>
    </font>
    <font>
      <b/>
      <sz val="10"/>
      <color indexed="9"/>
      <name val="Times New Roman"/>
    </font>
    <font>
      <sz val="10"/>
      <color indexed="9"/>
      <name val="Times New Roman"/>
    </font>
    <font>
      <b/>
      <sz val="10"/>
      <color indexed="17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5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49" fontId="2" fillId="0" borderId="0" xfId="0" quotePrefix="1" applyNumberFormat="1" applyFont="1" applyAlignment="1">
      <alignment horizontal="left"/>
    </xf>
    <xf numFmtId="6" fontId="3" fillId="0" borderId="0" xfId="0" applyNumberFormat="1" applyFont="1"/>
    <xf numFmtId="0" fontId="4" fillId="0" borderId="0" xfId="0" applyFont="1"/>
    <xf numFmtId="49" fontId="5" fillId="0" borderId="0" xfId="0" quotePrefix="1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8" fillId="0" borderId="0" xfId="0" quotePrefix="1" applyNumberFormat="1" applyFont="1" applyAlignment="1">
      <alignment horizontal="left" wrapText="1"/>
    </xf>
    <xf numFmtId="1" fontId="8" fillId="0" borderId="1" xfId="0" applyNumberFormat="1" applyFont="1" applyBorder="1" applyAlignment="1">
      <alignment horizontal="center"/>
    </xf>
    <xf numFmtId="1" fontId="8" fillId="0" borderId="0" xfId="0" applyNumberFormat="1" applyFont="1" applyBorder="1"/>
    <xf numFmtId="49" fontId="3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1" fontId="3" fillId="0" borderId="2" xfId="0" applyNumberFormat="1" applyFont="1" applyBorder="1" applyAlignment="1">
      <alignment horizontal="center"/>
    </xf>
    <xf numFmtId="6" fontId="8" fillId="0" borderId="0" xfId="0" applyNumberFormat="1" applyFont="1"/>
    <xf numFmtId="6" fontId="8" fillId="0" borderId="3" xfId="0" applyNumberFormat="1" applyFont="1" applyBorder="1"/>
    <xf numFmtId="6" fontId="3" fillId="0" borderId="0" xfId="0" quotePrefix="1" applyNumberFormat="1" applyFont="1" applyAlignment="1">
      <alignment horizontal="left"/>
    </xf>
    <xf numFmtId="49" fontId="10" fillId="0" borderId="0" xfId="0" quotePrefix="1" applyNumberFormat="1" applyFont="1" applyAlignment="1">
      <alignment horizontal="left" wrapText="1"/>
    </xf>
    <xf numFmtId="6" fontId="10" fillId="1" borderId="0" xfId="0" applyNumberFormat="1" applyFont="1" applyFill="1"/>
    <xf numFmtId="6" fontId="8" fillId="0" borderId="0" xfId="0" applyNumberFormat="1" applyFont="1" applyBorder="1"/>
    <xf numFmtId="6" fontId="8" fillId="0" borderId="4" xfId="0" applyNumberFormat="1" applyFont="1" applyBorder="1"/>
    <xf numFmtId="49" fontId="3" fillId="0" borderId="0" xfId="0" quotePrefix="1" applyNumberFormat="1" applyFont="1" applyAlignment="1">
      <alignment horizontal="left" wrapText="1"/>
    </xf>
    <xf numFmtId="6" fontId="3" fillId="0" borderId="3" xfId="0" applyNumberFormat="1" applyFont="1" applyBorder="1"/>
    <xf numFmtId="6" fontId="3" fillId="0" borderId="3" xfId="0" quotePrefix="1" applyNumberFormat="1" applyFont="1" applyBorder="1" applyAlignment="1">
      <alignment horizontal="left"/>
    </xf>
    <xf numFmtId="49" fontId="10" fillId="0" borderId="0" xfId="0" applyNumberFormat="1" applyFont="1" applyAlignment="1">
      <alignment horizontal="left" wrapText="1"/>
    </xf>
    <xf numFmtId="6" fontId="10" fillId="0" borderId="0" xfId="0" applyNumberFormat="1" applyFont="1"/>
    <xf numFmtId="6" fontId="10" fillId="0" borderId="0" xfId="0" quotePrefix="1" applyNumberFormat="1" applyFont="1" applyAlignment="1">
      <alignment horizontal="left"/>
    </xf>
    <xf numFmtId="49" fontId="11" fillId="2" borderId="0" xfId="0" applyNumberFormat="1" applyFont="1" applyFill="1" applyAlignment="1">
      <alignment horizontal="center" vertical="center" wrapText="1"/>
    </xf>
    <xf numFmtId="6" fontId="11" fillId="2" borderId="0" xfId="0" applyNumberFormat="1" applyFont="1" applyFill="1" applyAlignment="1">
      <alignment horizontal="center" vertical="center"/>
    </xf>
    <xf numFmtId="6" fontId="11" fillId="2" borderId="0" xfId="0" quotePrefix="1" applyNumberFormat="1" applyFont="1" applyFill="1" applyAlignment="1">
      <alignment horizontal="left" vertical="center"/>
    </xf>
    <xf numFmtId="3" fontId="8" fillId="0" borderId="0" xfId="0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0" fontId="12" fillId="0" borderId="0" xfId="0" applyFont="1" applyFill="1"/>
    <xf numFmtId="2" fontId="3" fillId="0" borderId="0" xfId="0" applyNumberFormat="1" applyFont="1"/>
    <xf numFmtId="2" fontId="3" fillId="0" borderId="0" xfId="0" quotePrefix="1" applyNumberFormat="1" applyFont="1" applyAlignment="1">
      <alignment horizontal="left"/>
    </xf>
    <xf numFmtId="10" fontId="3" fillId="0" borderId="0" xfId="1" applyNumberFormat="1" applyFont="1"/>
    <xf numFmtId="10" fontId="3" fillId="0" borderId="0" xfId="1" quotePrefix="1" applyNumberFormat="1" applyFont="1" applyAlignment="1">
      <alignment horizontal="left"/>
    </xf>
    <xf numFmtId="8" fontId="3" fillId="0" borderId="0" xfId="0" applyNumberFormat="1" applyFont="1"/>
    <xf numFmtId="8" fontId="3" fillId="0" borderId="0" xfId="0" quotePrefix="1" applyNumberFormat="1" applyFont="1" applyAlignment="1">
      <alignment horizontal="left"/>
    </xf>
    <xf numFmtId="49" fontId="9" fillId="0" borderId="0" xfId="0" applyNumberFormat="1" applyFont="1" applyBorder="1" applyAlignment="1">
      <alignment horizontal="left" wrapText="1"/>
    </xf>
    <xf numFmtId="49" fontId="1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9" fillId="0" borderId="0" xfId="0" applyNumberFormat="1" applyFont="1" applyFill="1" applyAlignment="1">
      <alignment horizontal="left" wrapText="1"/>
    </xf>
    <xf numFmtId="6" fontId="3" fillId="1" borderId="0" xfId="0" applyNumberFormat="1" applyFont="1" applyFill="1"/>
    <xf numFmtId="6" fontId="8" fillId="1" borderId="0" xfId="0" applyNumberFormat="1" applyFont="1" applyFill="1"/>
    <xf numFmtId="49" fontId="13" fillId="0" borderId="0" xfId="0" quotePrefix="1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topLeftCell="A105" workbookViewId="0">
      <selection activeCell="E4" sqref="E4"/>
    </sheetView>
  </sheetViews>
  <sheetFormatPr defaultColWidth="8.85546875" defaultRowHeight="12.75"/>
  <cols>
    <col min="1" max="1" width="28.85546875" style="3" customWidth="1"/>
    <col min="2" max="4" width="10.28515625" style="3" customWidth="1"/>
    <col min="5" max="8" width="9.140625" style="3" customWidth="1"/>
    <col min="9" max="10" width="8.85546875" style="3"/>
  </cols>
  <sheetData>
    <row r="1" spans="1:7" ht="18.75">
      <c r="A1" s="1" t="s">
        <v>0</v>
      </c>
      <c r="B1" s="2"/>
      <c r="C1" s="2"/>
      <c r="D1" s="2"/>
      <c r="E1" s="2"/>
      <c r="F1" s="2"/>
    </row>
    <row r="2" spans="1:7" ht="15.75">
      <c r="A2" s="4" t="s">
        <v>1</v>
      </c>
      <c r="B2" s="2"/>
      <c r="C2" s="2"/>
      <c r="D2" s="2"/>
      <c r="E2" s="2"/>
      <c r="F2" s="2"/>
    </row>
    <row r="3" spans="1:7" ht="13.5" thickBot="1">
      <c r="A3" s="5"/>
      <c r="B3" s="2"/>
      <c r="C3" s="2"/>
      <c r="D3" s="2"/>
      <c r="E3" s="2"/>
      <c r="F3" s="2"/>
    </row>
    <row r="4" spans="1:7" ht="27" thickTop="1" thickBot="1">
      <c r="A4" s="6" t="s">
        <v>2</v>
      </c>
      <c r="B4" s="7">
        <v>2015</v>
      </c>
      <c r="C4" s="2"/>
      <c r="D4" s="2"/>
      <c r="E4" s="2"/>
      <c r="F4" s="2"/>
    </row>
    <row r="5" spans="1:7" ht="14.25" thickTop="1" thickBot="1">
      <c r="A5" s="5"/>
      <c r="B5" s="8"/>
      <c r="C5" s="2"/>
      <c r="D5" s="2"/>
      <c r="E5" s="2"/>
      <c r="F5" s="2"/>
    </row>
    <row r="6" spans="1:7" ht="14.25" thickTop="1" thickBot="1">
      <c r="A6" s="5" t="s">
        <v>3</v>
      </c>
      <c r="B6" s="7">
        <v>3</v>
      </c>
      <c r="C6" s="2"/>
      <c r="D6" s="2"/>
      <c r="E6" s="2"/>
      <c r="F6" s="2"/>
    </row>
    <row r="7" spans="1:7" ht="13.5" thickTop="1">
      <c r="A7" s="9"/>
      <c r="B7" s="2"/>
      <c r="C7" s="2"/>
      <c r="D7" s="2"/>
      <c r="E7" s="2"/>
      <c r="F7" s="2"/>
    </row>
    <row r="8" spans="1:7">
      <c r="A8" s="9"/>
      <c r="B8" s="2"/>
      <c r="C8" s="2"/>
      <c r="D8" s="2"/>
      <c r="E8" s="2"/>
      <c r="F8" s="2"/>
    </row>
    <row r="9" spans="1:7" ht="13.5" thickBot="1">
      <c r="A9" s="9"/>
      <c r="B9" s="2"/>
      <c r="C9" s="2"/>
      <c r="D9" s="2"/>
      <c r="E9" s="2"/>
      <c r="F9" s="2"/>
    </row>
    <row r="10" spans="1:7" ht="14.25" thickTop="1" thickBot="1">
      <c r="A10" s="10" t="s">
        <v>4</v>
      </c>
      <c r="B10" s="11">
        <f>$B$4</f>
        <v>2015</v>
      </c>
      <c r="C10" s="11">
        <f>IF($B$6&gt;1,$B$10+1,"N/A")</f>
        <v>2016</v>
      </c>
      <c r="D10" s="11">
        <f>IF($B$6&gt;2,$C$10+1," ")</f>
        <v>2017</v>
      </c>
      <c r="E10" s="11" t="str">
        <f>IF($B$6&gt;3,$D$10+1," ")</f>
        <v xml:space="preserve"> </v>
      </c>
      <c r="F10" s="11" t="str">
        <f>IF($B$6&gt;4,$E$10+1," ")</f>
        <v xml:space="preserve"> </v>
      </c>
    </row>
    <row r="11" spans="1:7" ht="13.5" thickTop="1">
      <c r="A11" s="5" t="s">
        <v>5</v>
      </c>
      <c r="B11" s="12">
        <v>1500</v>
      </c>
      <c r="C11" s="12">
        <v>1550</v>
      </c>
      <c r="D11" s="12">
        <v>1700</v>
      </c>
      <c r="E11" s="12">
        <v>0</v>
      </c>
      <c r="F11" s="12">
        <v>0</v>
      </c>
    </row>
    <row r="12" spans="1:7" ht="13.5" thickBot="1">
      <c r="A12" s="5" t="s">
        <v>6</v>
      </c>
      <c r="B12" s="13">
        <v>1000</v>
      </c>
      <c r="C12" s="13">
        <v>1030</v>
      </c>
      <c r="D12" s="13">
        <v>1040</v>
      </c>
      <c r="E12" s="13">
        <v>0</v>
      </c>
      <c r="F12" s="13">
        <v>0</v>
      </c>
    </row>
    <row r="13" spans="1:7" ht="13.5" thickTop="1">
      <c r="A13" s="9" t="s">
        <v>7</v>
      </c>
      <c r="B13" s="2">
        <f>IF($B$6&gt;0,B11-B12," ")</f>
        <v>500</v>
      </c>
      <c r="C13" s="2">
        <f>IF($B$6&gt;1,C11-C12," ")</f>
        <v>520</v>
      </c>
      <c r="D13" s="2">
        <f>IF($B$6&gt;2,D11-D12," ")</f>
        <v>660</v>
      </c>
      <c r="E13" s="2" t="str">
        <f>IF($B$6&gt;3,E11-E12," ")</f>
        <v xml:space="preserve"> </v>
      </c>
      <c r="F13" s="14" t="str">
        <f>IF($B$6&gt;4,F11-F12," ")</f>
        <v xml:space="preserve"> </v>
      </c>
      <c r="G13" s="14" t="s">
        <v>8</v>
      </c>
    </row>
    <row r="14" spans="1:7">
      <c r="A14" s="15" t="s">
        <v>9</v>
      </c>
      <c r="B14" s="16"/>
      <c r="C14" s="16"/>
      <c r="D14" s="16"/>
      <c r="E14" s="16"/>
      <c r="F14" s="16"/>
    </row>
    <row r="15" spans="1:7">
      <c r="A15" s="5" t="s">
        <v>10</v>
      </c>
      <c r="B15" s="12">
        <v>140</v>
      </c>
      <c r="C15" s="12">
        <v>150</v>
      </c>
      <c r="D15" s="12">
        <v>155</v>
      </c>
      <c r="E15" s="12">
        <v>0</v>
      </c>
      <c r="F15" s="12">
        <v>0</v>
      </c>
    </row>
    <row r="16" spans="1:7">
      <c r="A16" s="5" t="s">
        <v>11</v>
      </c>
      <c r="B16" s="12">
        <v>260</v>
      </c>
      <c r="C16" s="12">
        <v>270</v>
      </c>
      <c r="D16" s="17">
        <v>275</v>
      </c>
      <c r="E16" s="17">
        <v>0</v>
      </c>
      <c r="F16" s="17">
        <v>0</v>
      </c>
    </row>
    <row r="17" spans="1:7">
      <c r="A17" s="5" t="s">
        <v>12</v>
      </c>
      <c r="B17" s="12">
        <v>5</v>
      </c>
      <c r="C17" s="12">
        <v>0</v>
      </c>
      <c r="D17" s="12">
        <v>2</v>
      </c>
      <c r="E17" s="12">
        <v>0</v>
      </c>
      <c r="F17" s="12">
        <v>0</v>
      </c>
    </row>
    <row r="18" spans="1:7" ht="13.5" thickBot="1">
      <c r="A18" s="5" t="s">
        <v>13</v>
      </c>
      <c r="B18" s="18">
        <v>10</v>
      </c>
      <c r="C18" s="18">
        <v>11</v>
      </c>
      <c r="D18" s="18">
        <v>12</v>
      </c>
      <c r="E18" s="18">
        <v>0</v>
      </c>
      <c r="F18" s="18">
        <v>0</v>
      </c>
    </row>
    <row r="19" spans="1:7" ht="14.25" thickTop="1" thickBot="1">
      <c r="A19" s="19" t="s">
        <v>14</v>
      </c>
      <c r="B19" s="20">
        <f>IF($B$6&gt;0,SUM(B15:B18)," ")</f>
        <v>415</v>
      </c>
      <c r="C19" s="20">
        <f>IF($B$6&gt;1,SUM(C15:C18)," ")</f>
        <v>431</v>
      </c>
      <c r="D19" s="20">
        <f>IF($B$6&gt;2,SUM(D15:D18)," ")</f>
        <v>444</v>
      </c>
      <c r="E19" s="20" t="str">
        <f>IF($B$6&gt;3,SUM(E15:E18)," ")</f>
        <v xml:space="preserve"> </v>
      </c>
      <c r="F19" s="21" t="str">
        <f>IF($B$6&gt;4,SUM(F15:F18)," ")</f>
        <v xml:space="preserve"> </v>
      </c>
      <c r="G19" s="21" t="s">
        <v>15</v>
      </c>
    </row>
    <row r="20" spans="1:7" ht="13.5" thickTop="1">
      <c r="A20" s="9" t="s">
        <v>16</v>
      </c>
      <c r="B20" s="2">
        <f>IF($B$6&gt;0,B13-B19," ")</f>
        <v>85</v>
      </c>
      <c r="C20" s="2">
        <f>IF($B$6&gt;1,C13-C19," ")</f>
        <v>89</v>
      </c>
      <c r="D20" s="2">
        <f>IF($B$6&gt;2,D13-D19," ")</f>
        <v>216</v>
      </c>
      <c r="E20" s="2" t="str">
        <f>IF($B$6&gt;3,E13-E19," ")</f>
        <v xml:space="preserve"> </v>
      </c>
      <c r="F20" s="14" t="str">
        <f>IF($B$6&gt;4,F13-F19," ")</f>
        <v xml:space="preserve"> </v>
      </c>
      <c r="G20" s="14" t="s">
        <v>17</v>
      </c>
    </row>
    <row r="21" spans="1:7" ht="13.5" thickBot="1">
      <c r="A21" s="5" t="s">
        <v>18</v>
      </c>
      <c r="B21" s="13">
        <v>23</v>
      </c>
      <c r="C21" s="13">
        <v>29</v>
      </c>
      <c r="D21" s="13">
        <v>30</v>
      </c>
      <c r="E21" s="13">
        <v>0</v>
      </c>
      <c r="F21" s="13">
        <v>0</v>
      </c>
    </row>
    <row r="22" spans="1:7" ht="13.5" thickTop="1">
      <c r="A22" s="9" t="s">
        <v>19</v>
      </c>
      <c r="B22" s="2">
        <f>IF($B$6&gt;0,B20-B21," ")</f>
        <v>62</v>
      </c>
      <c r="C22" s="2">
        <f>IF($B$6&gt;1,C20-C21," ")</f>
        <v>60</v>
      </c>
      <c r="D22" s="2">
        <f>IF($B$6&gt;2,D20-D21," ")</f>
        <v>186</v>
      </c>
      <c r="E22" s="2" t="str">
        <f>IF($B$6&gt;3,E20-E21," ")</f>
        <v xml:space="preserve"> </v>
      </c>
      <c r="F22" s="14" t="str">
        <f>IF($B$6&gt;4,F20-F21," ")</f>
        <v xml:space="preserve"> </v>
      </c>
      <c r="G22" s="14" t="s">
        <v>20</v>
      </c>
    </row>
    <row r="23" spans="1:7" ht="13.5" thickBot="1">
      <c r="A23" s="5" t="s">
        <v>21</v>
      </c>
      <c r="B23" s="13">
        <v>10</v>
      </c>
      <c r="C23" s="13">
        <v>12</v>
      </c>
      <c r="D23" s="13">
        <v>15</v>
      </c>
      <c r="E23" s="13">
        <v>0</v>
      </c>
      <c r="F23" s="13">
        <v>0</v>
      </c>
    </row>
    <row r="24" spans="1:7" ht="13.5" thickTop="1">
      <c r="A24" s="9" t="s">
        <v>22</v>
      </c>
      <c r="B24" s="2">
        <f>IF($B$6&gt;0,B22-B23," ")</f>
        <v>52</v>
      </c>
      <c r="C24" s="2">
        <f>IF($B$6&gt;1,C22-C23," ")</f>
        <v>48</v>
      </c>
      <c r="D24" s="2">
        <f>IF($B$6&gt;2,D22-D23," ")</f>
        <v>171</v>
      </c>
      <c r="E24" s="2" t="str">
        <f>IF($B$6&gt;3,E22-E23," ")</f>
        <v xml:space="preserve"> </v>
      </c>
      <c r="F24" s="14" t="str">
        <f>IF($B$6&gt;4,F22-F23," ")</f>
        <v xml:space="preserve"> </v>
      </c>
      <c r="G24" s="14" t="s">
        <v>23</v>
      </c>
    </row>
    <row r="25" spans="1:7" ht="13.5" thickBot="1">
      <c r="A25" s="6" t="s">
        <v>24</v>
      </c>
      <c r="B25" s="13">
        <v>1</v>
      </c>
      <c r="C25" s="13">
        <v>0</v>
      </c>
      <c r="D25" s="13">
        <v>0</v>
      </c>
      <c r="E25" s="13">
        <v>0</v>
      </c>
      <c r="F25" s="13">
        <v>0</v>
      </c>
    </row>
    <row r="26" spans="1:7" ht="26.25" thickTop="1">
      <c r="A26" s="9" t="s">
        <v>25</v>
      </c>
      <c r="B26" s="2">
        <f>IF($B$6&gt;0,B24-B25," ")</f>
        <v>51</v>
      </c>
      <c r="C26" s="2">
        <f>IF($B$6&gt;1,C24-C25," ")</f>
        <v>48</v>
      </c>
      <c r="D26" s="2">
        <f>IF($B$6&gt;2,D24-D25," ")</f>
        <v>171</v>
      </c>
      <c r="E26" s="2" t="str">
        <f>IF($B$6&gt;3,E24-E25," ")</f>
        <v xml:space="preserve"> </v>
      </c>
      <c r="F26" s="2" t="str">
        <f>IF($B$6&gt;4,F24-F25," ")</f>
        <v xml:space="preserve"> </v>
      </c>
      <c r="G26" s="2" t="s">
        <v>26</v>
      </c>
    </row>
    <row r="27" spans="1:7">
      <c r="A27" s="9"/>
      <c r="B27" s="2"/>
      <c r="C27" s="2"/>
      <c r="D27" s="2"/>
      <c r="E27" s="2"/>
      <c r="F27" s="2"/>
    </row>
    <row r="28" spans="1:7">
      <c r="A28" s="9"/>
      <c r="B28" s="2"/>
      <c r="C28" s="2"/>
      <c r="D28" s="2"/>
      <c r="E28" s="2"/>
      <c r="F28" s="2"/>
    </row>
    <row r="29" spans="1:7">
      <c r="A29" s="10" t="s">
        <v>27</v>
      </c>
      <c r="B29" s="2"/>
      <c r="C29" s="2"/>
      <c r="D29" s="2"/>
      <c r="E29" s="2"/>
      <c r="F29" s="2"/>
    </row>
    <row r="30" spans="1:7">
      <c r="A30" s="19" t="s">
        <v>28</v>
      </c>
      <c r="B30" s="16"/>
      <c r="C30" s="16"/>
      <c r="D30" s="16"/>
      <c r="E30" s="16"/>
      <c r="F30" s="16"/>
    </row>
    <row r="31" spans="1:7">
      <c r="A31" s="5" t="s">
        <v>29</v>
      </c>
      <c r="B31" s="12">
        <v>31</v>
      </c>
      <c r="C31" s="12">
        <v>12</v>
      </c>
      <c r="D31" s="12">
        <v>18</v>
      </c>
      <c r="E31" s="12">
        <v>0</v>
      </c>
      <c r="F31" s="12">
        <v>0</v>
      </c>
    </row>
    <row r="32" spans="1:7">
      <c r="A32" s="5" t="s">
        <v>30</v>
      </c>
      <c r="B32" s="12">
        <v>82</v>
      </c>
      <c r="C32" s="12">
        <v>66</v>
      </c>
      <c r="D32" s="12">
        <v>68</v>
      </c>
      <c r="E32" s="12">
        <v>0</v>
      </c>
      <c r="F32" s="12">
        <v>0</v>
      </c>
    </row>
    <row r="33" spans="1:7">
      <c r="A33" s="5" t="s">
        <v>31</v>
      </c>
      <c r="B33" s="12">
        <v>104</v>
      </c>
      <c r="C33" s="12">
        <v>152</v>
      </c>
      <c r="D33" s="12">
        <v>160</v>
      </c>
      <c r="E33" s="12">
        <v>0</v>
      </c>
      <c r="F33" s="12">
        <v>0</v>
      </c>
    </row>
    <row r="34" spans="1:7" ht="13.5" thickBot="1">
      <c r="A34" s="5" t="s">
        <v>32</v>
      </c>
      <c r="B34" s="13">
        <v>145</v>
      </c>
      <c r="C34" s="13">
        <v>191</v>
      </c>
      <c r="D34" s="13">
        <v>200</v>
      </c>
      <c r="E34" s="13">
        <v>0</v>
      </c>
      <c r="F34" s="13">
        <v>0</v>
      </c>
    </row>
    <row r="35" spans="1:7" ht="13.5" thickTop="1">
      <c r="A35" s="9" t="s">
        <v>33</v>
      </c>
      <c r="B35" s="2">
        <f>SUM(B31:B34)</f>
        <v>362</v>
      </c>
      <c r="C35" s="2">
        <f>IF($B$6&gt;1,SUM(C31:C34)," ")</f>
        <v>421</v>
      </c>
      <c r="D35" s="2">
        <f>IF($B$6&gt;2,SUM(D31:D34)," ")</f>
        <v>446</v>
      </c>
      <c r="E35" s="2" t="str">
        <f>IF($B$6&gt;3,SUM(E31:E34)," ")</f>
        <v xml:space="preserve"> </v>
      </c>
      <c r="F35" s="14" t="str">
        <f>IF($B$6&gt;4,SUM(F31:F34)," ")</f>
        <v xml:space="preserve"> </v>
      </c>
      <c r="G35" s="14" t="s">
        <v>34</v>
      </c>
    </row>
    <row r="36" spans="1:7">
      <c r="A36" s="19" t="s">
        <v>35</v>
      </c>
      <c r="B36" s="16"/>
      <c r="C36" s="16"/>
      <c r="D36" s="16"/>
      <c r="E36" s="16"/>
      <c r="F36" s="16"/>
    </row>
    <row r="37" spans="1:7">
      <c r="A37" s="5" t="s">
        <v>36</v>
      </c>
      <c r="B37" s="12">
        <v>180</v>
      </c>
      <c r="C37" s="12">
        <v>195</v>
      </c>
      <c r="D37" s="12">
        <v>200</v>
      </c>
      <c r="E37" s="12">
        <v>0</v>
      </c>
      <c r="F37" s="12">
        <v>0</v>
      </c>
    </row>
    <row r="38" spans="1:7">
      <c r="A38" s="5" t="s">
        <v>37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</row>
    <row r="39" spans="1:7">
      <c r="A39" s="5" t="s">
        <v>38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</row>
    <row r="40" spans="1:7">
      <c r="A40" s="5" t="s">
        <v>39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</row>
    <row r="41" spans="1:7" ht="13.5" thickBot="1">
      <c r="A41" s="5" t="s">
        <v>40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</row>
    <row r="42" spans="1:7" ht="13.5" thickTop="1">
      <c r="A42" s="22" t="s">
        <v>41</v>
      </c>
      <c r="B42" s="23">
        <f>SUM(B37:B41)</f>
        <v>180</v>
      </c>
      <c r="C42" s="23">
        <f>IF($B$6&gt;1,SUM(C37:C41)," ")</f>
        <v>195</v>
      </c>
      <c r="D42" s="23">
        <f>IF($B$6&gt;2,SUM(D37:D41)," ")</f>
        <v>200</v>
      </c>
      <c r="E42" s="23" t="str">
        <f>IF($B$6&gt;3,SUM(E37:E41)," ")</f>
        <v xml:space="preserve"> </v>
      </c>
      <c r="F42" s="24" t="str">
        <f>IF($B$6&gt;4,SUM(F37:F41)," ")</f>
        <v xml:space="preserve"> </v>
      </c>
      <c r="G42" s="24" t="s">
        <v>42</v>
      </c>
    </row>
    <row r="43" spans="1:7" ht="13.5" thickBot="1">
      <c r="A43" s="5" t="s">
        <v>43</v>
      </c>
      <c r="B43" s="13">
        <v>52</v>
      </c>
      <c r="C43" s="13">
        <v>63</v>
      </c>
      <c r="D43" s="13">
        <v>65</v>
      </c>
      <c r="E43" s="13">
        <v>0</v>
      </c>
      <c r="F43" s="13">
        <v>0</v>
      </c>
    </row>
    <row r="44" spans="1:7" ht="13.5" thickTop="1">
      <c r="A44" s="9" t="s">
        <v>44</v>
      </c>
      <c r="B44" s="2">
        <f>B42-B43</f>
        <v>128</v>
      </c>
      <c r="C44" s="2">
        <f>IF($B$6&gt;1,C42-C43," ")</f>
        <v>132</v>
      </c>
      <c r="D44" s="2">
        <f>IF($B$6&gt;2,D42-D43," ")</f>
        <v>135</v>
      </c>
      <c r="E44" s="2" t="str">
        <f>IF($B$6&gt;3,E42-E43," ")</f>
        <v xml:space="preserve"> </v>
      </c>
      <c r="F44" s="2" t="str">
        <f>IF($B$6&gt;4,F42-F43," ")</f>
        <v xml:space="preserve"> </v>
      </c>
      <c r="G44" s="14" t="s">
        <v>45</v>
      </c>
    </row>
    <row r="45" spans="1:7" ht="13.5" thickBot="1">
      <c r="A45" s="5" t="s">
        <v>46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</row>
    <row r="46" spans="1:7" ht="13.5" thickTop="1">
      <c r="A46" s="9" t="s">
        <v>47</v>
      </c>
      <c r="B46" s="2">
        <f>B35+B44</f>
        <v>490</v>
      </c>
      <c r="C46" s="2">
        <f>IF($B$6&gt;1,C35+C44," ")</f>
        <v>553</v>
      </c>
      <c r="D46" s="2">
        <f>IF($B$6&gt;2,D35+D44," ")</f>
        <v>581</v>
      </c>
      <c r="E46" s="2" t="str">
        <f>IF($B$6&gt;3,E35+E44," ")</f>
        <v xml:space="preserve"> </v>
      </c>
      <c r="F46" s="14" t="str">
        <f>IF($B$6&gt;4,F35+F44," ")</f>
        <v xml:space="preserve"> </v>
      </c>
      <c r="G46" s="14" t="s">
        <v>48</v>
      </c>
    </row>
    <row r="47" spans="1:7" ht="13.5" thickBot="1">
      <c r="A47" s="9"/>
      <c r="B47" s="2"/>
      <c r="C47" s="2"/>
      <c r="D47" s="2"/>
      <c r="E47" s="2"/>
      <c r="F47" s="2"/>
    </row>
    <row r="48" spans="1:7" ht="14.25" thickTop="1" thickBot="1">
      <c r="A48" s="19" t="s">
        <v>49</v>
      </c>
      <c r="B48" s="11">
        <f>$B$4</f>
        <v>2015</v>
      </c>
      <c r="C48" s="11">
        <f>IF($B$6&gt;1,$B$10+1,"N/A")</f>
        <v>2016</v>
      </c>
      <c r="D48" s="11">
        <f>IF($B$6&gt;2,$C$10+1," ")</f>
        <v>2017</v>
      </c>
      <c r="E48" s="11" t="str">
        <f>IF($B$6&gt;3,$D$10+1," ")</f>
        <v xml:space="preserve"> </v>
      </c>
      <c r="F48" s="11" t="str">
        <f>IF($B$6&gt;4,$E$10+1," ")</f>
        <v xml:space="preserve"> </v>
      </c>
      <c r="G48" s="14" t="s">
        <v>48</v>
      </c>
    </row>
    <row r="49" spans="1:7" ht="13.5" thickTop="1">
      <c r="A49" s="5" t="s">
        <v>50</v>
      </c>
      <c r="B49" s="12">
        <v>126</v>
      </c>
      <c r="C49" s="12">
        <v>136</v>
      </c>
      <c r="D49" s="12">
        <v>150</v>
      </c>
      <c r="E49" s="12">
        <v>0</v>
      </c>
      <c r="F49" s="12">
        <v>0</v>
      </c>
    </row>
    <row r="50" spans="1:7">
      <c r="A50" s="5" t="s">
        <v>51</v>
      </c>
      <c r="B50" s="12">
        <v>190</v>
      </c>
      <c r="C50" s="12">
        <v>200</v>
      </c>
      <c r="D50" s="12">
        <v>140</v>
      </c>
      <c r="E50" s="12">
        <v>0</v>
      </c>
      <c r="F50" s="12">
        <v>0</v>
      </c>
    </row>
    <row r="51" spans="1:7">
      <c r="A51" s="5" t="s">
        <v>52</v>
      </c>
      <c r="B51" s="12">
        <v>25</v>
      </c>
      <c r="C51" s="12">
        <v>27</v>
      </c>
      <c r="D51" s="12">
        <v>28</v>
      </c>
      <c r="E51" s="12">
        <v>0</v>
      </c>
      <c r="F51" s="12">
        <v>0</v>
      </c>
    </row>
    <row r="52" spans="1:7">
      <c r="A52" s="5" t="s">
        <v>53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</row>
    <row r="53" spans="1:7" ht="13.5" thickBot="1">
      <c r="A53" s="5" t="s">
        <v>54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</row>
    <row r="54" spans="1:7" ht="13.5" thickTop="1">
      <c r="A54" s="9" t="s">
        <v>55</v>
      </c>
      <c r="B54" s="2">
        <f>SUM(B49:B53)</f>
        <v>341</v>
      </c>
      <c r="C54" s="2">
        <f>IF($B$6&gt;1,SUM(C49:C53)," ")</f>
        <v>363</v>
      </c>
      <c r="D54" s="2">
        <f>IF($B$6&gt;2,SUM(D49:D53)," ")</f>
        <v>318</v>
      </c>
      <c r="E54" s="2" t="str">
        <f>IF($B$6&gt;3,SUM(E49:E53)," ")</f>
        <v xml:space="preserve"> </v>
      </c>
      <c r="F54" s="14" t="str">
        <f>IF($B$6&gt;4,SUM(F49:F53)," ")</f>
        <v xml:space="preserve"> </v>
      </c>
      <c r="G54" s="14" t="s">
        <v>56</v>
      </c>
    </row>
    <row r="55" spans="1:7" ht="13.5" thickBot="1">
      <c r="A55" s="6" t="s">
        <v>57</v>
      </c>
      <c r="B55" s="13">
        <v>40</v>
      </c>
      <c r="C55" s="13">
        <v>38</v>
      </c>
      <c r="D55" s="13">
        <v>13</v>
      </c>
      <c r="E55" s="13">
        <v>0</v>
      </c>
      <c r="F55" s="13">
        <v>0</v>
      </c>
    </row>
    <row r="56" spans="1:7" ht="14.25" thickTop="1" thickBot="1">
      <c r="A56" s="9" t="s">
        <v>58</v>
      </c>
      <c r="B56" s="20">
        <f>B54+B55</f>
        <v>381</v>
      </c>
      <c r="C56" s="20">
        <f>IF($B$6&gt;1,C54+C55," ")</f>
        <v>401</v>
      </c>
      <c r="D56" s="20">
        <f>IF($B$6&gt;2,D54+D55," ")</f>
        <v>331</v>
      </c>
      <c r="E56" s="20" t="str">
        <f>IF($B$6&gt;3,E54+E55," ")</f>
        <v xml:space="preserve"> </v>
      </c>
      <c r="F56" s="21" t="str">
        <f>IF($B$6&gt;4,F54+F55," ")</f>
        <v xml:space="preserve"> </v>
      </c>
      <c r="G56" s="21" t="s">
        <v>59</v>
      </c>
    </row>
    <row r="57" spans="1:7" ht="13.5" thickTop="1">
      <c r="A57" s="5" t="s">
        <v>60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</row>
    <row r="58" spans="1:7">
      <c r="A58" s="5" t="s">
        <v>61</v>
      </c>
      <c r="B58" s="12">
        <v>20</v>
      </c>
      <c r="C58" s="12">
        <v>20</v>
      </c>
      <c r="D58" s="12">
        <v>20</v>
      </c>
      <c r="E58" s="12">
        <v>0</v>
      </c>
      <c r="F58" s="12">
        <v>0</v>
      </c>
    </row>
    <row r="59" spans="1:7">
      <c r="A59" s="5" t="s">
        <v>62</v>
      </c>
      <c r="B59" s="12">
        <v>30</v>
      </c>
      <c r="C59" s="12">
        <v>30</v>
      </c>
      <c r="D59" s="12">
        <v>30</v>
      </c>
      <c r="E59" s="12">
        <v>0</v>
      </c>
      <c r="F59" s="12">
        <v>0</v>
      </c>
    </row>
    <row r="60" spans="1:7" ht="13.5" thickBot="1">
      <c r="A60" s="5" t="s">
        <v>63</v>
      </c>
      <c r="B60" s="13">
        <v>59</v>
      </c>
      <c r="C60" s="13">
        <v>102</v>
      </c>
      <c r="D60" s="13">
        <v>200</v>
      </c>
      <c r="E60" s="13">
        <v>0</v>
      </c>
      <c r="F60" s="13">
        <v>0</v>
      </c>
    </row>
    <row r="61" spans="1:7" ht="14.25" thickTop="1" thickBot="1">
      <c r="A61" s="19" t="s">
        <v>64</v>
      </c>
      <c r="B61" s="20">
        <f>SUM(B57:B60)</f>
        <v>109</v>
      </c>
      <c r="C61" s="20">
        <f>IF($B$6&gt;1,SUM(C57:C60)," ")</f>
        <v>152</v>
      </c>
      <c r="D61" s="20">
        <f>IF($B$6&gt;2,SUM(D57:D60)," ")</f>
        <v>250</v>
      </c>
      <c r="E61" s="20" t="str">
        <f>IF($B$6&gt;3,SUM(E57:E60)," ")</f>
        <v xml:space="preserve"> </v>
      </c>
      <c r="F61" s="21" t="str">
        <f>IF($B$6&gt;4,SUM(F57:F60)," ")</f>
        <v xml:space="preserve"> </v>
      </c>
      <c r="G61" s="21" t="s">
        <v>65</v>
      </c>
    </row>
    <row r="62" spans="1:7" ht="13.5" thickTop="1">
      <c r="A62" s="19" t="s">
        <v>66</v>
      </c>
      <c r="B62" s="2">
        <f>B56+B61</f>
        <v>490</v>
      </c>
      <c r="C62" s="2">
        <f>IF($B$6&gt;1,C56+C61," ")</f>
        <v>553</v>
      </c>
      <c r="D62" s="2">
        <f>IF($B$6&gt;2,D56+D61," ")</f>
        <v>581</v>
      </c>
      <c r="E62" s="2" t="str">
        <f>IF($B$6&gt;3,E56+E61," ")</f>
        <v xml:space="preserve"> </v>
      </c>
      <c r="F62" s="14" t="str">
        <f>IF($B$6&gt;4,F56+F61," ")</f>
        <v xml:space="preserve"> </v>
      </c>
      <c r="G62" s="14" t="s">
        <v>67</v>
      </c>
    </row>
    <row r="63" spans="1:7">
      <c r="A63" s="25" t="s">
        <v>68</v>
      </c>
      <c r="B63" s="26">
        <f>B62-B46</f>
        <v>0</v>
      </c>
      <c r="C63" s="26">
        <f>IF($B$6&gt;1,C62-C46," ")</f>
        <v>0</v>
      </c>
      <c r="D63" s="26">
        <f>IF($B$6&gt;2,D62-D46," ")</f>
        <v>0</v>
      </c>
      <c r="E63" s="26" t="str">
        <f>IF($B$6&gt;3,E62-E46," ")</f>
        <v xml:space="preserve"> </v>
      </c>
      <c r="F63" s="27" t="str">
        <f>IF($B$6&gt;4,F62-F46," ")</f>
        <v xml:space="preserve"> </v>
      </c>
      <c r="G63" s="27" t="s">
        <v>69</v>
      </c>
    </row>
    <row r="64" spans="1:7">
      <c r="A64" s="5" t="s">
        <v>70</v>
      </c>
      <c r="B64" s="28">
        <v>500</v>
      </c>
      <c r="C64" s="28">
        <v>500</v>
      </c>
      <c r="D64" s="28">
        <v>500</v>
      </c>
      <c r="E64" s="28">
        <v>0</v>
      </c>
      <c r="F64" s="28">
        <v>0</v>
      </c>
    </row>
    <row r="65" spans="1:7">
      <c r="A65" s="5" t="s">
        <v>71</v>
      </c>
      <c r="B65" s="29">
        <v>3</v>
      </c>
      <c r="C65" s="29">
        <v>5</v>
      </c>
      <c r="D65" s="29">
        <v>5.5</v>
      </c>
      <c r="E65" s="29">
        <v>0</v>
      </c>
      <c r="F65" s="29">
        <v>0</v>
      </c>
      <c r="G65" s="30"/>
    </row>
    <row r="66" spans="1:7">
      <c r="A66" s="9"/>
      <c r="B66" s="2"/>
      <c r="C66" s="2"/>
      <c r="D66" s="2"/>
      <c r="E66" s="2"/>
      <c r="F66" s="2"/>
    </row>
    <row r="67" spans="1:7">
      <c r="A67" s="10" t="s">
        <v>72</v>
      </c>
      <c r="B67" s="2"/>
      <c r="C67" s="2"/>
      <c r="D67" s="2"/>
      <c r="E67" s="2"/>
      <c r="F67" s="2"/>
    </row>
    <row r="68" spans="1:7">
      <c r="A68" s="9" t="s">
        <v>73</v>
      </c>
      <c r="B68" s="31">
        <f>B35/B54</f>
        <v>1.0615835777126099</v>
      </c>
      <c r="C68" s="31">
        <f>IF($B$6&gt;1,C35/C54," ")</f>
        <v>1.1597796143250689</v>
      </c>
      <c r="D68" s="31">
        <f>IF($B$6&gt;2,D35/D54," ")</f>
        <v>1.4025157232704402</v>
      </c>
      <c r="E68" s="31" t="str">
        <f>IF($B$6&gt;3,E35/E54," ")</f>
        <v xml:space="preserve"> </v>
      </c>
      <c r="F68" s="32" t="str">
        <f>IF($B$6&gt;4,F35/F54," ")</f>
        <v xml:space="preserve"> </v>
      </c>
      <c r="G68" s="32" t="s">
        <v>74</v>
      </c>
    </row>
    <row r="69" spans="1:7">
      <c r="A69" s="9" t="s">
        <v>75</v>
      </c>
      <c r="B69" s="31">
        <f>(B35-B34)/B54</f>
        <v>0.63636363636363635</v>
      </c>
      <c r="C69" s="31">
        <f>IF($B$6&gt;1,(C35-C34)/C54," ")</f>
        <v>0.63360881542699721</v>
      </c>
      <c r="D69" s="31">
        <f>IF($B$6&gt;2,(D35-D34)/D54," ")</f>
        <v>0.77358490566037741</v>
      </c>
      <c r="E69" s="31" t="str">
        <f>IF($B$6&gt;3,(E35-E34)/E54," ")</f>
        <v xml:space="preserve"> </v>
      </c>
      <c r="F69" s="32" t="str">
        <f>IF($B$6&gt;4,(F35-F34)/F54," ")</f>
        <v xml:space="preserve"> </v>
      </c>
      <c r="G69" s="32" t="s">
        <v>76</v>
      </c>
    </row>
    <row r="70" spans="1:7">
      <c r="A70" s="9"/>
      <c r="B70" s="2"/>
      <c r="C70" s="2"/>
      <c r="D70" s="2"/>
      <c r="E70" s="2"/>
      <c r="F70" s="2"/>
    </row>
    <row r="71" spans="1:7">
      <c r="A71" s="9" t="s">
        <v>77</v>
      </c>
      <c r="B71" s="31">
        <f>IF($B$6&gt;0,B12/B34," ")</f>
        <v>6.8965517241379306</v>
      </c>
      <c r="C71" s="31">
        <f>IF($B$6&gt;1,C12/C34," ")</f>
        <v>5.3926701570680624</v>
      </c>
      <c r="D71" s="31">
        <f>IF($B$6&gt;2,D12/D34," ")</f>
        <v>5.2</v>
      </c>
      <c r="E71" s="31" t="str">
        <f>IF($B$6&gt;3,E12/E34," ")</f>
        <v xml:space="preserve"> </v>
      </c>
      <c r="F71" s="32" t="str">
        <f>IF($B$6&gt;4,F12/F34," ")</f>
        <v xml:space="preserve"> </v>
      </c>
      <c r="G71" s="32" t="s">
        <v>78</v>
      </c>
    </row>
    <row r="72" spans="1:7">
      <c r="A72" s="9" t="s">
        <v>79</v>
      </c>
      <c r="B72" s="31">
        <f t="shared" ref="B72:C72" si="0">IF($B$6&gt;1,B33/(B11/360)," ")</f>
        <v>24.959999999999997</v>
      </c>
      <c r="C72" s="31">
        <f t="shared" si="0"/>
        <v>35.303225806451614</v>
      </c>
      <c r="D72" s="31">
        <f>IF($B$6&gt;2,D33/(D11/360)," ")</f>
        <v>33.882352941176471</v>
      </c>
      <c r="E72" s="31" t="str">
        <f>IF($B$6&gt;3,E33/(E11/360)," ")</f>
        <v xml:space="preserve"> </v>
      </c>
      <c r="F72" s="32" t="str">
        <f>IF($B$6&gt;4,F33/(F11/360)," ")</f>
        <v xml:space="preserve"> </v>
      </c>
      <c r="G72" s="32" t="s">
        <v>80</v>
      </c>
    </row>
    <row r="73" spans="1:7">
      <c r="A73" s="9" t="s">
        <v>81</v>
      </c>
      <c r="B73" s="31">
        <f t="shared" ref="B73:C73" si="1">IF($B$6&gt;1,B11/B44," ")</f>
        <v>11.71875</v>
      </c>
      <c r="C73" s="31">
        <f t="shared" si="1"/>
        <v>11.742424242424242</v>
      </c>
      <c r="D73" s="31">
        <f>IF($B$6&gt;2,D11/D44," ")</f>
        <v>12.592592592592593</v>
      </c>
      <c r="E73" s="31" t="str">
        <f>IF($B$6&gt;3,E11/E44," ")</f>
        <v xml:space="preserve"> </v>
      </c>
      <c r="F73" s="32" t="str">
        <f>IF($B$6&gt;4,F11/F44," ")</f>
        <v xml:space="preserve"> </v>
      </c>
      <c r="G73" s="32" t="s">
        <v>82</v>
      </c>
    </row>
    <row r="74" spans="1:7">
      <c r="A74" s="9" t="s">
        <v>83</v>
      </c>
      <c r="B74" s="31">
        <f>IF($B$6&gt;0,B11/B46," ")</f>
        <v>3.0612244897959182</v>
      </c>
      <c r="C74" s="31">
        <f>IF($B$6&gt;1,C11/C46," ")</f>
        <v>2.8028933092224233</v>
      </c>
      <c r="D74" s="31">
        <f>IF($B$6&gt;2,D11/D46," ")</f>
        <v>2.9259896729776247</v>
      </c>
      <c r="E74" s="31" t="str">
        <f>IF($B$6&gt;3,E11/E46," ")</f>
        <v xml:space="preserve"> </v>
      </c>
      <c r="F74" s="32" t="str">
        <f>IF($B$6&gt;4,F11/F46," ")</f>
        <v xml:space="preserve"> </v>
      </c>
      <c r="G74" s="32" t="s">
        <v>84</v>
      </c>
    </row>
    <row r="75" spans="1:7">
      <c r="A75" s="9"/>
      <c r="B75" s="2"/>
      <c r="C75" s="2"/>
      <c r="D75" s="2"/>
      <c r="E75" s="2"/>
      <c r="F75" s="2"/>
    </row>
    <row r="76" spans="1:7">
      <c r="A76" s="9" t="s">
        <v>85</v>
      </c>
      <c r="B76" s="31">
        <f>B56/B46</f>
        <v>0.77755102040816326</v>
      </c>
      <c r="C76" s="31">
        <f>IF($B$6&gt;1,C56/C46," ")</f>
        <v>0.72513562386980113</v>
      </c>
      <c r="D76" s="31">
        <f>IF($B$6&gt;2,D56/D46," ")</f>
        <v>0.56970740103270223</v>
      </c>
      <c r="E76" s="31" t="str">
        <f>IF($B$6&gt;3,E56/E46," ")</f>
        <v xml:space="preserve"> </v>
      </c>
      <c r="F76" s="32" t="str">
        <f>IF($B$6&gt;4,F56/F46," ")</f>
        <v xml:space="preserve"> </v>
      </c>
      <c r="G76" s="32" t="s">
        <v>86</v>
      </c>
    </row>
    <row r="77" spans="1:7">
      <c r="A77" s="9" t="s">
        <v>87</v>
      </c>
      <c r="B77" s="31">
        <f>B55/B61</f>
        <v>0.3669724770642202</v>
      </c>
      <c r="C77" s="31">
        <f>IF($B$6&gt;1,C55/C61," ")</f>
        <v>0.25</v>
      </c>
      <c r="D77" s="31">
        <f>IF($B$6&gt;2,D55/D61," ")</f>
        <v>5.1999999999999998E-2</v>
      </c>
      <c r="E77" s="31" t="str">
        <f>IF($B$6&gt;3,E55/E61," ")</f>
        <v xml:space="preserve"> </v>
      </c>
      <c r="F77" s="32" t="str">
        <f>IF($B$6&gt;4,F55/F61," ")</f>
        <v xml:space="preserve"> </v>
      </c>
      <c r="G77" s="32" t="s">
        <v>88</v>
      </c>
    </row>
    <row r="78" spans="1:7">
      <c r="A78" s="9" t="s">
        <v>89</v>
      </c>
      <c r="B78" s="31">
        <f t="shared" ref="B78:C78" si="2">IF($B$6&gt;1,B20/B21," ")</f>
        <v>3.6956521739130435</v>
      </c>
      <c r="C78" s="31">
        <f t="shared" si="2"/>
        <v>3.0689655172413794</v>
      </c>
      <c r="D78" s="31">
        <f>IF($B$6&gt;2,D20/D21," ")</f>
        <v>7.2</v>
      </c>
      <c r="E78" s="31" t="str">
        <f>IF($B$6&gt;3,E20/E21," ")</f>
        <v xml:space="preserve"> </v>
      </c>
      <c r="F78" s="32" t="str">
        <f>IF($B$6&gt;4,F20/F21," ")</f>
        <v xml:space="preserve"> </v>
      </c>
      <c r="G78" s="32" t="s">
        <v>90</v>
      </c>
    </row>
    <row r="79" spans="1:7">
      <c r="A79" s="9"/>
      <c r="B79" s="2"/>
      <c r="C79" s="2"/>
      <c r="D79" s="2"/>
      <c r="E79" s="2"/>
      <c r="F79" s="2"/>
    </row>
    <row r="80" spans="1:7">
      <c r="A80" s="9" t="s">
        <v>91</v>
      </c>
      <c r="B80" s="33">
        <f>IF($B$6&gt;0,B13/B11," ")</f>
        <v>0.33333333333333331</v>
      </c>
      <c r="C80" s="33">
        <f>IF($B$6&gt;1,C13/C11," ")</f>
        <v>0.33548387096774196</v>
      </c>
      <c r="D80" s="33">
        <f>IF($B$6&gt;2,D13/D11," ")</f>
        <v>0.38823529411764707</v>
      </c>
      <c r="E80" s="33" t="str">
        <f t="shared" ref="E80:F80" si="3">IF($B$6&gt;3,E13/E11," ")</f>
        <v xml:space="preserve"> </v>
      </c>
      <c r="F80" s="33" t="str">
        <f t="shared" si="3"/>
        <v xml:space="preserve"> </v>
      </c>
      <c r="G80" s="34" t="s">
        <v>92</v>
      </c>
    </row>
    <row r="81" spans="1:7">
      <c r="A81" s="9" t="s">
        <v>93</v>
      </c>
      <c r="B81" s="33">
        <f>IF($B$6&gt;0,B20/B11," ")</f>
        <v>5.6666666666666664E-2</v>
      </c>
      <c r="C81" s="33">
        <f>IF($B$6&gt;1,C20/C11," ")</f>
        <v>5.7419354838709677E-2</v>
      </c>
      <c r="D81" s="33">
        <f>IF($B$6&gt;2,D20/D11," ")</f>
        <v>0.12705882352941175</v>
      </c>
      <c r="E81" s="33" t="str">
        <f>IF($B$6&gt;3,E20/E11," ")</f>
        <v xml:space="preserve"> </v>
      </c>
      <c r="F81" s="34" t="str">
        <f>IF($B$6&gt;4,F20/F11," ")</f>
        <v xml:space="preserve"> </v>
      </c>
      <c r="G81" s="34" t="s">
        <v>94</v>
      </c>
    </row>
    <row r="82" spans="1:7">
      <c r="A82" s="9" t="s">
        <v>95</v>
      </c>
      <c r="B82" s="33">
        <f>IF($B$6&gt;0,B24/B11," ")</f>
        <v>3.4666666666666665E-2</v>
      </c>
      <c r="C82" s="33">
        <f>IF($B$6&gt;1,C24/C11," ")</f>
        <v>3.0967741935483871E-2</v>
      </c>
      <c r="D82" s="33">
        <f>IF($B$6&gt;2,D24/D11," ")</f>
        <v>0.10058823529411764</v>
      </c>
      <c r="E82" s="33" t="str">
        <f>IF($B$6&gt;3,E24/E11," ")</f>
        <v xml:space="preserve"> </v>
      </c>
      <c r="F82" s="34" t="str">
        <f>IF($B$6&gt;4,F24/F11," ")</f>
        <v xml:space="preserve"> </v>
      </c>
      <c r="G82" s="34" t="s">
        <v>96</v>
      </c>
    </row>
    <row r="83" spans="1:7">
      <c r="A83" s="9"/>
      <c r="B83" s="2"/>
      <c r="C83" s="2"/>
      <c r="D83" s="2"/>
      <c r="E83" s="2"/>
      <c r="F83" s="2"/>
    </row>
    <row r="84" spans="1:7">
      <c r="A84" s="9" t="s">
        <v>97</v>
      </c>
      <c r="B84" s="33">
        <f>IF($B$6&gt;0,B24/B46," ")</f>
        <v>0.10612244897959183</v>
      </c>
      <c r="C84" s="33">
        <f>IF($B$6&gt;1,C24/C46," ")</f>
        <v>8.6799276672694395E-2</v>
      </c>
      <c r="D84" s="33">
        <f>IF($B$6&gt;2,D24/D46," ")</f>
        <v>0.29432013769363169</v>
      </c>
      <c r="E84" s="33" t="str">
        <f>IF($B$6&gt;3,E24/E46," ")</f>
        <v xml:space="preserve"> </v>
      </c>
      <c r="F84" s="34" t="str">
        <f>IF($B$6&gt;4,F24/F46," ")</f>
        <v xml:space="preserve"> </v>
      </c>
      <c r="G84" s="34" t="s">
        <v>98</v>
      </c>
    </row>
    <row r="85" spans="1:7">
      <c r="A85" s="19" t="s">
        <v>99</v>
      </c>
      <c r="B85" s="33">
        <f>IF($B$6&gt;0,B24/B61," ")</f>
        <v>0.47706422018348627</v>
      </c>
      <c r="C85" s="33">
        <f>IF($B$6&gt;1,C24/C61," ")</f>
        <v>0.31578947368421051</v>
      </c>
      <c r="D85" s="33">
        <f>IF($B$6&gt;2,D24/D61," ")</f>
        <v>0.68400000000000005</v>
      </c>
      <c r="E85" s="33" t="str">
        <f>IF($B$6&gt;3,E24/E61," ")</f>
        <v xml:space="preserve"> </v>
      </c>
      <c r="F85" s="34" t="str">
        <f>IF($B$6&gt;4,F24/F61," ")</f>
        <v xml:space="preserve"> </v>
      </c>
      <c r="G85" s="34" t="s">
        <v>100</v>
      </c>
    </row>
    <row r="86" spans="1:7">
      <c r="A86" s="9"/>
      <c r="B86" s="2"/>
      <c r="C86" s="2"/>
      <c r="D86" s="2"/>
      <c r="E86" s="2"/>
      <c r="F86" s="2"/>
    </row>
    <row r="87" spans="1:7">
      <c r="A87" s="19" t="s">
        <v>101</v>
      </c>
      <c r="B87" s="35">
        <f>IF($B$6&gt;0,B26/B64," ")</f>
        <v>0.10199999999999999</v>
      </c>
      <c r="C87" s="35">
        <f>IF($B$6&gt;1,C26/C64," ")</f>
        <v>9.6000000000000002E-2</v>
      </c>
      <c r="D87" s="35">
        <f>IF($B$6&gt;2,D26/D64," ")</f>
        <v>0.34200000000000003</v>
      </c>
      <c r="E87" s="35" t="str">
        <f>IF($B$6&gt;3,E26/E64," ")</f>
        <v xml:space="preserve"> </v>
      </c>
      <c r="F87" s="36" t="str">
        <f>IF($B$6&gt;4,F26/F64," ")</f>
        <v xml:space="preserve"> </v>
      </c>
      <c r="G87" s="36" t="s">
        <v>102</v>
      </c>
    </row>
    <row r="88" spans="1:7">
      <c r="A88" s="9"/>
      <c r="B88" s="2"/>
      <c r="C88" s="2"/>
      <c r="D88" s="2"/>
      <c r="E88" s="2"/>
      <c r="F88" s="2"/>
    </row>
    <row r="89" spans="1:7">
      <c r="A89" s="9" t="s">
        <v>103</v>
      </c>
      <c r="B89" s="31">
        <f t="shared" ref="B89:E89" si="4">IF(AND(B65&gt;0,B87&gt;0),B65/B87,"  ")</f>
        <v>29.411764705882355</v>
      </c>
      <c r="C89" s="31">
        <f t="shared" si="4"/>
        <v>52.083333333333336</v>
      </c>
      <c r="D89" s="31">
        <f t="shared" si="4"/>
        <v>16.081871345029239</v>
      </c>
      <c r="E89" s="31" t="str">
        <f t="shared" si="4"/>
        <v xml:space="preserve">  </v>
      </c>
      <c r="F89" s="32" t="str">
        <f>IF(AND(F65&gt;0,F87&gt;0),F65/F87,"  ")</f>
        <v xml:space="preserve">  </v>
      </c>
      <c r="G89" s="32" t="s">
        <v>104</v>
      </c>
    </row>
    <row r="90" spans="1:7">
      <c r="A90" s="9"/>
      <c r="B90" s="2"/>
      <c r="C90" s="2"/>
      <c r="D90" s="2"/>
      <c r="E90" s="2"/>
      <c r="F90" s="2"/>
    </row>
    <row r="91" spans="1:7">
      <c r="A91" s="37" t="s">
        <v>105</v>
      </c>
      <c r="B91" s="2"/>
      <c r="C91" s="2"/>
      <c r="D91" s="2"/>
      <c r="E91" s="2"/>
      <c r="F91" s="2"/>
    </row>
    <row r="92" spans="1:7">
      <c r="A92" s="19" t="s">
        <v>106</v>
      </c>
      <c r="B92" s="33">
        <f>IF($B$6&gt;0,B24/B11," ")</f>
        <v>3.4666666666666665E-2</v>
      </c>
      <c r="C92" s="33">
        <f>IF($B$6&gt;1,C24/C11," ")</f>
        <v>3.0967741935483871E-2</v>
      </c>
      <c r="D92" s="33">
        <f>IF($B$6&gt;2,D24/D11," ")</f>
        <v>0.10058823529411764</v>
      </c>
      <c r="E92" s="33" t="str">
        <f>IF($B$6&gt;3,E24/E11," ")</f>
        <v xml:space="preserve"> </v>
      </c>
      <c r="F92" s="34" t="str">
        <f>IF($B$6&gt;4,F24/F11," ")</f>
        <v xml:space="preserve"> </v>
      </c>
      <c r="G92" s="34" t="s">
        <v>96</v>
      </c>
    </row>
    <row r="93" spans="1:7">
      <c r="A93" s="9" t="s">
        <v>107</v>
      </c>
      <c r="B93" s="33">
        <f>IF($B$6&gt;0,B11/B46," ")</f>
        <v>3.0612244897959182</v>
      </c>
      <c r="C93" s="33">
        <f>IF($B$6&gt;1,C11/C46," ")</f>
        <v>2.8028933092224233</v>
      </c>
      <c r="D93" s="33">
        <f>IF($B$6&gt;2,D11/D46," ")</f>
        <v>2.9259896729776247</v>
      </c>
      <c r="E93" s="33" t="str">
        <f>IF($B$6&gt;3,E11/E46," ")</f>
        <v xml:space="preserve"> </v>
      </c>
      <c r="F93" s="34" t="str">
        <f>IF($B$6&gt;4,F11/F46," ")</f>
        <v xml:space="preserve"> </v>
      </c>
      <c r="G93" s="34" t="s">
        <v>84</v>
      </c>
    </row>
    <row r="94" spans="1:7">
      <c r="A94" s="38" t="s">
        <v>108</v>
      </c>
      <c r="B94" s="33">
        <f>IF($B$6&gt;0,B92*B93," ")</f>
        <v>0.10612244897959183</v>
      </c>
      <c r="C94" s="33">
        <f>IF($B$6&gt;1,C92*C93," ")</f>
        <v>8.6799276672694395E-2</v>
      </c>
      <c r="D94" s="33">
        <f>IF($B$6&gt;2,D92*D93," ")</f>
        <v>0.29432013769363163</v>
      </c>
      <c r="E94" s="33" t="str">
        <f>IF($B$6&gt;3,E92*E93," ")</f>
        <v xml:space="preserve"> </v>
      </c>
      <c r="F94" s="34" t="str">
        <f>IF($B$6&gt;4,F92*F93," ")</f>
        <v xml:space="preserve"> </v>
      </c>
      <c r="G94" s="34" t="s">
        <v>109</v>
      </c>
    </row>
    <row r="95" spans="1:7">
      <c r="A95" s="9" t="s">
        <v>110</v>
      </c>
      <c r="B95" s="33">
        <f>IF($B$6&gt;0,B24/B46," ")</f>
        <v>0.10612244897959183</v>
      </c>
      <c r="C95" s="33">
        <f>IF($B$6&gt;1,C24/C46," ")</f>
        <v>8.6799276672694395E-2</v>
      </c>
      <c r="D95" s="33">
        <f>IF($B$6&gt;2,D24/D46," ")</f>
        <v>0.29432013769363169</v>
      </c>
      <c r="E95" s="33" t="str">
        <f>IF($B$6&gt;3,E24/E46," ")</f>
        <v xml:space="preserve"> </v>
      </c>
      <c r="F95" s="34" t="str">
        <f>IF($B$6&gt;4,F24/F46," ")</f>
        <v xml:space="preserve"> </v>
      </c>
      <c r="G95" s="34" t="s">
        <v>98</v>
      </c>
    </row>
    <row r="96" spans="1:7">
      <c r="A96" s="19" t="s">
        <v>111</v>
      </c>
      <c r="B96" s="33">
        <f>B46/B61</f>
        <v>4.4954128440366974</v>
      </c>
      <c r="C96" s="33">
        <f>IF($B$6&gt;1,C46/C61," ")</f>
        <v>3.638157894736842</v>
      </c>
      <c r="D96" s="33">
        <f>IF($B$6&gt;2,D46/D61," ")</f>
        <v>2.3239999999999998</v>
      </c>
      <c r="E96" s="33" t="str">
        <f>IF($B$6&gt;3,E46/E61," ")</f>
        <v xml:space="preserve"> </v>
      </c>
      <c r="F96" s="34" t="str">
        <f>IF($B$6&gt;4,F46/F61," ")</f>
        <v xml:space="preserve"> </v>
      </c>
      <c r="G96" s="34" t="s">
        <v>112</v>
      </c>
    </row>
    <row r="97" spans="1:7">
      <c r="A97" s="38" t="s">
        <v>113</v>
      </c>
      <c r="B97" s="33">
        <f>IF($B$6&gt;0,B95*B96," ")</f>
        <v>0.47706422018348621</v>
      </c>
      <c r="C97" s="33">
        <f>IF($B$6&gt;1,C95*C96," ")</f>
        <v>0.31578947368421051</v>
      </c>
      <c r="D97" s="33">
        <f>IF($B$6&gt;2,D95*D96," ")</f>
        <v>0.68400000000000005</v>
      </c>
      <c r="E97" s="33" t="str">
        <f>IF($B$6&gt;3,E95*E96," ")</f>
        <v xml:space="preserve"> </v>
      </c>
      <c r="F97" s="34" t="str">
        <f>IF($B$6&gt;4,F95*F96," ")</f>
        <v xml:space="preserve"> </v>
      </c>
      <c r="G97" s="34" t="s">
        <v>114</v>
      </c>
    </row>
    <row r="98" spans="1:7">
      <c r="A98" s="9"/>
      <c r="B98" s="2"/>
      <c r="C98" s="2"/>
      <c r="D98" s="2"/>
      <c r="E98" s="2"/>
      <c r="F98" s="2"/>
    </row>
    <row r="99" spans="1:7">
      <c r="A99" s="9"/>
      <c r="B99" s="2"/>
      <c r="C99" s="2"/>
      <c r="D99" s="2"/>
      <c r="E99" s="2"/>
      <c r="F99" s="2"/>
    </row>
    <row r="100" spans="1:7">
      <c r="A100" s="9"/>
      <c r="B100" s="2"/>
      <c r="C100" s="2"/>
      <c r="D100" s="2"/>
      <c r="E100" s="2"/>
      <c r="F100" s="2"/>
    </row>
    <row r="101" spans="1:7">
      <c r="A101" s="39"/>
      <c r="B101" s="2"/>
      <c r="C101" s="2"/>
      <c r="D101" s="2"/>
      <c r="E101" s="2"/>
      <c r="F101" s="2"/>
    </row>
    <row r="102" spans="1:7" ht="13.5" thickBot="1">
      <c r="A102" s="40" t="s">
        <v>115</v>
      </c>
    </row>
    <row r="103" spans="1:7" ht="27" thickTop="1" thickBot="1">
      <c r="A103" s="9" t="s">
        <v>116</v>
      </c>
      <c r="B103" s="11">
        <f>$B$4</f>
        <v>2015</v>
      </c>
      <c r="C103" s="11">
        <f>IF($B$6&gt;1,$B$10+1,"N/A")</f>
        <v>2016</v>
      </c>
      <c r="D103" s="11">
        <f>IF($B$6&gt;2,$C$10+1," ")</f>
        <v>2017</v>
      </c>
      <c r="E103" s="11" t="str">
        <f>IF($B$6&gt;3,$D$10+1," ")</f>
        <v xml:space="preserve"> </v>
      </c>
      <c r="F103" s="11" t="str">
        <f>IF($B$6&gt;4,$E$10+1," ")</f>
        <v xml:space="preserve"> </v>
      </c>
    </row>
    <row r="104" spans="1:7" ht="13.5" thickTop="1">
      <c r="A104" s="19" t="s">
        <v>22</v>
      </c>
      <c r="B104" s="41"/>
      <c r="C104" s="2">
        <f>IF($B$6&gt;1,C24," ")</f>
        <v>48</v>
      </c>
      <c r="D104" s="2">
        <f>IF($B$6&gt;2,D24," ")</f>
        <v>171</v>
      </c>
      <c r="E104" s="2" t="str">
        <f>IF($B$6&gt;3,E24," ")</f>
        <v xml:space="preserve"> </v>
      </c>
      <c r="F104" s="2" t="str">
        <f>IF($B$6&gt;4,F24," ")</f>
        <v xml:space="preserve"> </v>
      </c>
    </row>
    <row r="105" spans="1:7">
      <c r="A105" s="19" t="s">
        <v>117</v>
      </c>
      <c r="B105" s="41"/>
      <c r="C105" s="2">
        <f>IF($B$6&gt;1,C18," ")</f>
        <v>11</v>
      </c>
      <c r="D105" s="2">
        <f>IF($B$6&gt;2,D18," ")</f>
        <v>12</v>
      </c>
      <c r="E105" s="2" t="str">
        <f>IF($B$6&gt;3,E18," ")</f>
        <v xml:space="preserve"> </v>
      </c>
      <c r="F105" s="2" t="str">
        <f>IF($B$6&gt;4,F18," ")</f>
        <v xml:space="preserve"> </v>
      </c>
    </row>
    <row r="106" spans="1:7">
      <c r="A106" s="19" t="s">
        <v>118</v>
      </c>
      <c r="B106" s="41"/>
      <c r="C106" s="2">
        <f t="shared" ref="C106:C107" si="5">IF($B$6&gt;1,-(C33-B33)," ")</f>
        <v>-48</v>
      </c>
      <c r="D106" s="2">
        <f t="shared" ref="D106:D107" si="6">IF($B$6&gt;2,-(D33-C33)," ")</f>
        <v>-8</v>
      </c>
      <c r="E106" s="2" t="str">
        <f t="shared" ref="E106:E107" si="7">IF($B$6&gt;3,-(E33-D33)," ")</f>
        <v xml:space="preserve"> </v>
      </c>
      <c r="F106" s="2" t="str">
        <f t="shared" ref="F106:F107" si="8">IF($B$6&gt;4,-(F33-E33)," ")</f>
        <v xml:space="preserve"> </v>
      </c>
    </row>
    <row r="107" spans="1:7">
      <c r="A107" s="19" t="s">
        <v>119</v>
      </c>
      <c r="B107" s="41"/>
      <c r="C107" s="2">
        <f t="shared" si="5"/>
        <v>-46</v>
      </c>
      <c r="D107" s="2">
        <f t="shared" si="6"/>
        <v>-9</v>
      </c>
      <c r="E107" s="2" t="str">
        <f t="shared" si="7"/>
        <v xml:space="preserve"> </v>
      </c>
      <c r="F107" s="2" t="str">
        <f t="shared" si="8"/>
        <v xml:space="preserve"> </v>
      </c>
    </row>
    <row r="108" spans="1:7">
      <c r="A108" s="9" t="s">
        <v>120</v>
      </c>
      <c r="B108" s="41"/>
      <c r="C108" s="2">
        <f>IF($B$6&gt;1,-(C45-B45)," ")</f>
        <v>0</v>
      </c>
      <c r="D108" s="2">
        <f>IF($B$6&gt;2,-(D45-C45)," ")</f>
        <v>0</v>
      </c>
      <c r="E108" s="2" t="str">
        <f>IF($B$6&gt;3,-(E45-D45)," ")</f>
        <v xml:space="preserve"> </v>
      </c>
      <c r="F108" s="2" t="str">
        <f>IF($B$6&gt;4,-(F45-E45)," ")</f>
        <v xml:space="preserve"> </v>
      </c>
    </row>
    <row r="109" spans="1:7">
      <c r="A109" s="19" t="s">
        <v>121</v>
      </c>
      <c r="B109" s="41"/>
      <c r="C109" s="2">
        <f>IF($B$6&gt;1,C49-B49," ")</f>
        <v>10</v>
      </c>
      <c r="D109" s="2">
        <f>IF($B$6&gt;2,D49-C49," ")</f>
        <v>14</v>
      </c>
      <c r="E109" s="2" t="str">
        <f>IF($B$6&gt;3,E49-D49," ")</f>
        <v xml:space="preserve"> </v>
      </c>
      <c r="F109" s="2" t="str">
        <f>IF($B$6&gt;4,F49-E49," ")</f>
        <v xml:space="preserve"> </v>
      </c>
    </row>
    <row r="110" spans="1:7">
      <c r="A110" s="19" t="s">
        <v>122</v>
      </c>
      <c r="B110" s="41"/>
      <c r="C110" s="2">
        <f t="shared" ref="C110:C112" si="9">IF($B$6&gt;1,C51-B51," ")</f>
        <v>2</v>
      </c>
      <c r="D110" s="2">
        <f t="shared" ref="D110:D112" si="10">IF($B$6&gt;2,D51-C51," ")</f>
        <v>1</v>
      </c>
      <c r="E110" s="2" t="str">
        <f t="shared" ref="E110:E112" si="11">IF($B$6&gt;3,E51-D51," ")</f>
        <v xml:space="preserve"> </v>
      </c>
      <c r="F110" s="2" t="str">
        <f t="shared" ref="F110:F112" si="12">IF($B$6&gt;4,F51-E51," ")</f>
        <v xml:space="preserve"> </v>
      </c>
    </row>
    <row r="111" spans="1:7">
      <c r="A111" s="9" t="s">
        <v>123</v>
      </c>
      <c r="B111" s="41"/>
      <c r="C111" s="2">
        <f t="shared" si="9"/>
        <v>0</v>
      </c>
      <c r="D111" s="2">
        <f t="shared" si="10"/>
        <v>0</v>
      </c>
      <c r="E111" s="2" t="str">
        <f t="shared" si="11"/>
        <v xml:space="preserve"> </v>
      </c>
      <c r="F111" s="2" t="str">
        <f t="shared" si="12"/>
        <v xml:space="preserve"> </v>
      </c>
    </row>
    <row r="112" spans="1:7" ht="13.5" thickBot="1">
      <c r="A112" s="19" t="s">
        <v>124</v>
      </c>
      <c r="B112" s="41"/>
      <c r="C112" s="20">
        <f t="shared" si="9"/>
        <v>0</v>
      </c>
      <c r="D112" s="20">
        <f t="shared" si="10"/>
        <v>0</v>
      </c>
      <c r="E112" s="20" t="str">
        <f t="shared" si="11"/>
        <v xml:space="preserve"> </v>
      </c>
      <c r="F112" s="20" t="str">
        <f t="shared" si="12"/>
        <v xml:space="preserve"> </v>
      </c>
    </row>
    <row r="113" spans="1:6" ht="13.5" thickTop="1">
      <c r="A113" s="38" t="s">
        <v>125</v>
      </c>
      <c r="B113" s="41"/>
      <c r="C113" s="2">
        <f>IF($B$6&gt;1,SUM(C104:C112)," ")</f>
        <v>-23</v>
      </c>
      <c r="D113" s="2">
        <f>IF($B$6&gt;2,SUM(D104:D112)," ")</f>
        <v>181</v>
      </c>
      <c r="E113" s="2" t="str">
        <f>IF($B$6&gt;3,SUM(E104:E112)," ")</f>
        <v xml:space="preserve"> </v>
      </c>
      <c r="F113" s="2" t="str">
        <f>IF($B$6&gt;4,SUM(F104:F112)," ")</f>
        <v xml:space="preserve"> </v>
      </c>
    </row>
    <row r="114" spans="1:6">
      <c r="A114" s="9"/>
      <c r="B114" s="41"/>
      <c r="C114" s="2"/>
      <c r="D114" s="2"/>
      <c r="E114" s="2"/>
      <c r="F114" s="2"/>
    </row>
    <row r="115" spans="1:6" ht="25.5">
      <c r="A115" s="9" t="s">
        <v>126</v>
      </c>
      <c r="B115" s="41"/>
      <c r="C115" s="2"/>
      <c r="D115" s="2"/>
      <c r="E115" s="2"/>
      <c r="F115" s="2"/>
    </row>
    <row r="116" spans="1:6" ht="13.5" thickBot="1">
      <c r="A116" s="19" t="s">
        <v>127</v>
      </c>
      <c r="B116" s="41"/>
      <c r="C116" s="20">
        <f>IF($B$6&gt;1,-(C42-B42)," ")</f>
        <v>-15</v>
      </c>
      <c r="D116" s="20">
        <f>IF($B$6&gt;2,-(D42-C42)," ")</f>
        <v>-5</v>
      </c>
      <c r="E116" s="20" t="str">
        <f>IF($B$6&gt;3,-(E42-D42)," ")</f>
        <v xml:space="preserve"> </v>
      </c>
      <c r="F116" s="20" t="str">
        <f>IF($B$6&gt;4,-(F42-E42)," ")</f>
        <v xml:space="preserve"> </v>
      </c>
    </row>
    <row r="117" spans="1:6" ht="13.5" thickTop="1">
      <c r="A117" s="38" t="s">
        <v>128</v>
      </c>
      <c r="B117" s="41"/>
      <c r="C117" s="2">
        <f>IF($B$6&gt;1,SUM(C116)," ")</f>
        <v>-15</v>
      </c>
      <c r="D117" s="2">
        <f>IF($B$6&gt;2,SUM(D116)," ")</f>
        <v>-5</v>
      </c>
      <c r="E117" s="2" t="str">
        <f>IF($B$6&gt;3,SUM(E116)," ")</f>
        <v xml:space="preserve"> </v>
      </c>
      <c r="F117" s="2" t="str">
        <f>IF($B$6&gt;4,SUM(F116)," ")</f>
        <v xml:space="preserve"> </v>
      </c>
    </row>
    <row r="118" spans="1:6">
      <c r="A118" s="9"/>
      <c r="B118" s="41"/>
      <c r="C118" s="2"/>
      <c r="D118" s="2"/>
      <c r="E118" s="2"/>
      <c r="F118" s="2"/>
    </row>
    <row r="119" spans="1:6" ht="25.5">
      <c r="A119" s="9" t="s">
        <v>129</v>
      </c>
      <c r="B119" s="41"/>
      <c r="C119" s="2"/>
      <c r="D119" s="2"/>
      <c r="E119" s="2"/>
      <c r="F119" s="2"/>
    </row>
    <row r="120" spans="1:6">
      <c r="A120" s="9" t="s">
        <v>130</v>
      </c>
      <c r="B120" s="41"/>
      <c r="C120" s="2">
        <f>IF($B$6&gt;1,C50-B50," ")</f>
        <v>10</v>
      </c>
      <c r="D120" s="2">
        <f>IF($B$6&gt;2,D50-C50," ")</f>
        <v>-60</v>
      </c>
      <c r="E120" s="2" t="str">
        <f>IF($B$6&gt;3,E50-D50," ")</f>
        <v xml:space="preserve"> </v>
      </c>
      <c r="F120" s="2" t="str">
        <f>IF($B$6&gt;4,F50-E50," ")</f>
        <v xml:space="preserve"> </v>
      </c>
    </row>
    <row r="121" spans="1:6">
      <c r="A121" s="9" t="s">
        <v>131</v>
      </c>
      <c r="B121" s="41"/>
      <c r="C121" s="2">
        <f>IF($B$6&gt;1,C55-B55," ")</f>
        <v>-2</v>
      </c>
      <c r="D121" s="2">
        <f>IF($B$6&gt;2,D55-C55," ")</f>
        <v>-25</v>
      </c>
      <c r="E121" s="2" t="str">
        <f>IF($B$6&gt;3,E55-D55," ")</f>
        <v xml:space="preserve"> </v>
      </c>
      <c r="F121" s="2" t="str">
        <f>IF($B$6&gt;4,F55-E55," ")</f>
        <v xml:space="preserve"> </v>
      </c>
    </row>
    <row r="122" spans="1:6">
      <c r="A122" s="9" t="s">
        <v>132</v>
      </c>
      <c r="B122" s="41"/>
      <c r="C122" s="2">
        <f>IF($B$6&gt;1,SUM(C57:C59)-SUM(B57:B59)," ")</f>
        <v>0</v>
      </c>
      <c r="D122" s="2">
        <f>IF($B$6&gt;2,SUM(D57:D59)-SUM(C57:C59)," ")</f>
        <v>0</v>
      </c>
      <c r="E122" s="2" t="str">
        <f>IF($B$6&gt;3,SUM(E57:E59)-SUM(D57:D59)," ")</f>
        <v xml:space="preserve"> </v>
      </c>
      <c r="F122" s="2" t="str">
        <f>IF($B$6&gt;4,SUM(F57:F59)-SUM(E57:E59)," ")</f>
        <v xml:space="preserve"> </v>
      </c>
    </row>
    <row r="123" spans="1:6">
      <c r="A123" s="9" t="s">
        <v>133</v>
      </c>
      <c r="B123" s="41"/>
      <c r="C123" s="2">
        <f>IF($B$6&gt;1,-C25," ")</f>
        <v>0</v>
      </c>
      <c r="D123" s="2">
        <f>IF($B$6&gt;2,-D25," ")</f>
        <v>0</v>
      </c>
      <c r="E123" s="2" t="str">
        <f>IF($B$6&gt;3,-E25," ")</f>
        <v xml:space="preserve"> </v>
      </c>
      <c r="F123" s="2" t="str">
        <f>IF($B$6&gt;4,-F25," ")</f>
        <v xml:space="preserve"> </v>
      </c>
    </row>
    <row r="124" spans="1:6" ht="13.5" thickBot="1">
      <c r="A124" s="6" t="s">
        <v>134</v>
      </c>
      <c r="B124" s="42"/>
      <c r="C124" s="13">
        <v>-5</v>
      </c>
      <c r="D124" s="13" t="s">
        <v>135</v>
      </c>
      <c r="E124" s="13" t="s">
        <v>135</v>
      </c>
      <c r="F124" s="13" t="s">
        <v>135</v>
      </c>
    </row>
    <row r="125" spans="1:6" ht="27" thickTop="1" thickBot="1">
      <c r="A125" s="38" t="s">
        <v>136</v>
      </c>
      <c r="B125" s="41"/>
      <c r="C125" s="20">
        <f>IF($B$6&gt;1,SUM(C120:C124)," ")</f>
        <v>3</v>
      </c>
      <c r="D125" s="20">
        <f>IF($B$6&gt;2,SUM(D120:D124)," ")</f>
        <v>-85</v>
      </c>
      <c r="E125" s="20" t="str">
        <f>IF($B$6&gt;3,SUM(E120:E124)," ")</f>
        <v xml:space="preserve"> </v>
      </c>
      <c r="F125" s="20" t="str">
        <f>IF($B$6&gt;4,SUM(F120:F124)," ")</f>
        <v xml:space="preserve"> </v>
      </c>
    </row>
    <row r="126" spans="1:6" ht="13.5" thickTop="1">
      <c r="A126" s="9"/>
      <c r="B126" s="41"/>
      <c r="C126" s="2"/>
      <c r="D126" s="2"/>
      <c r="E126" s="2"/>
      <c r="F126" s="2"/>
    </row>
    <row r="127" spans="1:6">
      <c r="A127" s="43" t="s">
        <v>137</v>
      </c>
      <c r="B127" s="41"/>
      <c r="C127" s="2">
        <f>IF($B$6&gt;1,C113+C117+C125," ")</f>
        <v>-35</v>
      </c>
      <c r="D127" s="2">
        <f>IF($B$6&gt;2,D113+D117+D125," ")</f>
        <v>91</v>
      </c>
      <c r="E127" s="2" t="str">
        <f>IF($B$6&gt;3,E113+E117+E125," ")</f>
        <v xml:space="preserve"> </v>
      </c>
      <c r="F127" s="2" t="str">
        <f>IF($B$6&gt;4,F113+F117+F125," ")</f>
        <v xml:space="preserve"> </v>
      </c>
    </row>
    <row r="128" spans="1:6">
      <c r="B128" s="2"/>
      <c r="C128" s="2"/>
      <c r="D128" s="2"/>
      <c r="E128" s="2"/>
      <c r="F128" s="2"/>
    </row>
  </sheetData>
  <printOptions horizontalCentered="1" headings="1" gridLines="1" gridLinesSet="0"/>
  <pageMargins left="0.3" right="0.1" top="0.5" bottom="0.5" header="0.5" footer="0.5"/>
  <pageSetup paperSize="0" scale="80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Ratio Analysis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cp:lastModifiedBy>admin</cp:lastModifiedBy>
  <dcterms:created xsi:type="dcterms:W3CDTF">2017-12-07T18:23:02Z</dcterms:created>
  <dcterms:modified xsi:type="dcterms:W3CDTF">2017-12-08T06:31:33Z</dcterms:modified>
</cp:coreProperties>
</file>