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ightcoder/Desktop/Stage 4 of Multivare Statistical Methods Project/"/>
    </mc:Choice>
  </mc:AlternateContent>
  <xr:revisionPtr revIDLastSave="0" documentId="13_ncr:1_{E1AD9213-57B1-2B4A-9684-0DB3ABDA29E6}" xr6:coauthVersionLast="47" xr6:coauthVersionMax="47" xr10:uidLastSave="{00000000-0000-0000-0000-000000000000}"/>
  <bookViews>
    <workbookView xWindow="0" yWindow="840" windowWidth="34200" windowHeight="21400" activeTab="1" xr2:uid="{1AF9AB35-90DB-8444-81C3-7F29AC7D3E81}"/>
  </bookViews>
  <sheets>
    <sheet name="Ki-Kare" sheetId="1" r:id="rId1"/>
    <sheet name="Box-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56" i="2" l="1"/>
  <c r="AG52" i="2"/>
  <c r="AG53" i="2"/>
  <c r="G23" i="2" l="1"/>
  <c r="H23" i="2"/>
  <c r="L21" i="2" s="1"/>
  <c r="I23" i="2"/>
  <c r="M22" i="2" s="1"/>
  <c r="J23" i="2"/>
  <c r="N18" i="2" s="1"/>
  <c r="G24" i="2"/>
  <c r="G25" i="2" s="1"/>
  <c r="H24" i="2"/>
  <c r="H25" i="2" s="1"/>
  <c r="I24" i="2"/>
  <c r="I25" i="2" s="1"/>
  <c r="J24" i="2"/>
  <c r="J25" i="2" s="1"/>
  <c r="J48" i="2"/>
  <c r="O47" i="2" s="1"/>
  <c r="I48" i="2"/>
  <c r="N47" i="2" s="1"/>
  <c r="H48" i="2"/>
  <c r="M47" i="2" s="1"/>
  <c r="G48" i="2"/>
  <c r="L46" i="2" s="1"/>
  <c r="L47" i="2"/>
  <c r="O46" i="2"/>
  <c r="O44" i="2"/>
  <c r="O39" i="2"/>
  <c r="J33" i="2"/>
  <c r="J34" i="2" s="1"/>
  <c r="I33" i="2"/>
  <c r="I34" i="2" s="1"/>
  <c r="H33" i="2"/>
  <c r="H34" i="2" s="1"/>
  <c r="G33" i="2"/>
  <c r="G34" i="2" s="1"/>
  <c r="J32" i="2"/>
  <c r="N31" i="2" s="1"/>
  <c r="R31" i="2" s="1"/>
  <c r="I32" i="2"/>
  <c r="M31" i="2" s="1"/>
  <c r="Q31" i="2" s="1"/>
  <c r="H32" i="2"/>
  <c r="L31" i="2" s="1"/>
  <c r="P31" i="2" s="1"/>
  <c r="G32" i="2"/>
  <c r="K30" i="2" s="1"/>
  <c r="K22" i="2"/>
  <c r="K21" i="2"/>
  <c r="K19" i="2"/>
  <c r="J12" i="2"/>
  <c r="J13" i="2" s="1"/>
  <c r="I12" i="2"/>
  <c r="I13" i="2" s="1"/>
  <c r="H12" i="2"/>
  <c r="H13" i="2" s="1"/>
  <c r="G12" i="2"/>
  <c r="G13" i="2" s="1"/>
  <c r="J11" i="2"/>
  <c r="O5" i="2" s="1"/>
  <c r="I11" i="2"/>
  <c r="N10" i="2" s="1"/>
  <c r="H11" i="2"/>
  <c r="M6" i="2" s="1"/>
  <c r="G11" i="2"/>
  <c r="L7" i="2" s="1"/>
  <c r="AB30" i="1"/>
  <c r="AA23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21" i="1"/>
  <c r="U39" i="1" a="1"/>
  <c r="U39" i="1" s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O30" i="2" l="1"/>
  <c r="K31" i="2"/>
  <c r="O31" i="2" s="1"/>
  <c r="O42" i="2"/>
  <c r="O19" i="2"/>
  <c r="O21" i="2"/>
  <c r="O22" i="2"/>
  <c r="P21" i="2"/>
  <c r="N29" i="2"/>
  <c r="R29" i="2" s="1"/>
  <c r="R18" i="2"/>
  <c r="Q22" i="2"/>
  <c r="N39" i="2"/>
  <c r="N40" i="2"/>
  <c r="N7" i="2"/>
  <c r="N42" i="2"/>
  <c r="L19" i="2"/>
  <c r="P19" i="2" s="1"/>
  <c r="O2" i="2"/>
  <c r="O7" i="2"/>
  <c r="L22" i="2"/>
  <c r="P22" i="2" s="1"/>
  <c r="L17" i="2"/>
  <c r="P17" i="2" s="1"/>
  <c r="L18" i="2"/>
  <c r="P18" i="2" s="1"/>
  <c r="L29" i="2"/>
  <c r="P29" i="2" s="1"/>
  <c r="L20" i="2"/>
  <c r="P20" i="2" s="1"/>
  <c r="M29" i="2"/>
  <c r="Q29" i="2" s="1"/>
  <c r="N44" i="2"/>
  <c r="O8" i="2"/>
  <c r="M7" i="2"/>
  <c r="M40" i="2"/>
  <c r="M3" i="2"/>
  <c r="O3" i="2"/>
  <c r="O9" i="2"/>
  <c r="L44" i="2"/>
  <c r="N3" i="2"/>
  <c r="L43" i="2"/>
  <c r="O4" i="2"/>
  <c r="M10" i="2"/>
  <c r="M44" i="2"/>
  <c r="M8" i="2"/>
  <c r="O6" i="2"/>
  <c r="O10" i="2"/>
  <c r="L40" i="2"/>
  <c r="N46" i="2"/>
  <c r="O40" i="2"/>
  <c r="N20" i="2"/>
  <c r="R20" i="2" s="1"/>
  <c r="M5" i="2"/>
  <c r="M2" i="2"/>
  <c r="N5" i="2"/>
  <c r="M9" i="2"/>
  <c r="L39" i="2"/>
  <c r="L41" i="2"/>
  <c r="N2" i="2"/>
  <c r="N9" i="2"/>
  <c r="K29" i="2"/>
  <c r="O29" i="2" s="1"/>
  <c r="M39" i="2"/>
  <c r="M42" i="2"/>
  <c r="M46" i="2"/>
  <c r="M21" i="2"/>
  <c r="Q21" i="2" s="1"/>
  <c r="L2" i="2"/>
  <c r="N19" i="2"/>
  <c r="R19" i="2" s="1"/>
  <c r="N22" i="2"/>
  <c r="R22" i="2" s="1"/>
  <c r="L30" i="2"/>
  <c r="P30" i="2" s="1"/>
  <c r="L42" i="2"/>
  <c r="N21" i="2"/>
  <c r="R21" i="2" s="1"/>
  <c r="L9" i="2"/>
  <c r="M30" i="2"/>
  <c r="Q30" i="2" s="1"/>
  <c r="L45" i="2"/>
  <c r="M19" i="2"/>
  <c r="Q19" i="2" s="1"/>
  <c r="N17" i="2"/>
  <c r="R17" i="2" s="1"/>
  <c r="N30" i="2"/>
  <c r="R30" i="2" s="1"/>
  <c r="N4" i="2"/>
  <c r="N6" i="2"/>
  <c r="L8" i="2"/>
  <c r="L10" i="2"/>
  <c r="K17" i="2"/>
  <c r="O17" i="2" s="1"/>
  <c r="K18" i="2"/>
  <c r="O18" i="2" s="1"/>
  <c r="K20" i="2"/>
  <c r="O20" i="2" s="1"/>
  <c r="L4" i="2"/>
  <c r="L6" i="2"/>
  <c r="L3" i="2"/>
  <c r="L5" i="2"/>
  <c r="N8" i="2"/>
  <c r="M17" i="2"/>
  <c r="Q17" i="2" s="1"/>
  <c r="M18" i="2"/>
  <c r="Q18" i="2" s="1"/>
  <c r="M20" i="2"/>
  <c r="Q20" i="2" s="1"/>
  <c r="M41" i="2"/>
  <c r="M43" i="2"/>
  <c r="M45" i="2"/>
  <c r="N41" i="2"/>
  <c r="N43" i="2"/>
  <c r="N45" i="2"/>
  <c r="M4" i="2"/>
  <c r="O41" i="2"/>
  <c r="O43" i="2"/>
  <c r="O45" i="2"/>
  <c r="V21" i="1" a="1"/>
  <c r="V21" i="1" s="1"/>
  <c r="U41" i="1"/>
  <c r="T29" i="2" l="1" a="1"/>
  <c r="T29" i="2" s="1"/>
  <c r="AA29" i="2" s="1" a="1"/>
  <c r="AA29" i="2" s="1"/>
  <c r="AF29" i="2" s="1" a="1"/>
  <c r="AF29" i="2" s="1"/>
  <c r="AG34" i="2" s="1"/>
  <c r="AG35" i="2" s="1"/>
  <c r="R2" i="2" a="1"/>
  <c r="R2" i="2" s="1"/>
  <c r="R7" i="2" s="1" a="1"/>
  <c r="R7" i="2" s="1"/>
  <c r="T17" i="2" a="1"/>
  <c r="T17" i="2" s="1"/>
  <c r="AA17" i="2" s="1" a="1"/>
  <c r="L51" i="2" a="1"/>
  <c r="L51" i="2" s="1"/>
  <c r="G51" i="2" s="1" a="1"/>
  <c r="G51" i="2" s="1"/>
  <c r="I24" i="1"/>
  <c r="I25" i="1" s="1"/>
  <c r="J24" i="1"/>
  <c r="J25" i="1" s="1"/>
  <c r="K24" i="1"/>
  <c r="K25" i="1" s="1"/>
  <c r="L24" i="1"/>
  <c r="L25" i="1" s="1"/>
  <c r="H24" i="1"/>
  <c r="H25" i="1" s="1"/>
  <c r="I23" i="1"/>
  <c r="O10" i="1" s="1"/>
  <c r="J23" i="1"/>
  <c r="P14" i="1" s="1"/>
  <c r="K23" i="1"/>
  <c r="Q10" i="1" s="1"/>
  <c r="L23" i="1"/>
  <c r="R14" i="1" s="1"/>
  <c r="H23" i="1"/>
  <c r="N14" i="1" s="1"/>
  <c r="AD43" i="2" l="1"/>
  <c r="AD42" i="2"/>
  <c r="AD40" i="2"/>
  <c r="AA17" i="2"/>
  <c r="AC43" i="2"/>
  <c r="AC42" i="2"/>
  <c r="AC40" i="2"/>
  <c r="AB43" i="2"/>
  <c r="AB42" i="2"/>
  <c r="AB40" i="2"/>
  <c r="AA43" i="2"/>
  <c r="AA42" i="2"/>
  <c r="AD41" i="2"/>
  <c r="AC41" i="2"/>
  <c r="AB41" i="2"/>
  <c r="AA41" i="2"/>
  <c r="N20" i="1"/>
  <c r="N11" i="1"/>
  <c r="P21" i="1"/>
  <c r="R6" i="1"/>
  <c r="N21" i="1"/>
  <c r="R25" i="1"/>
  <c r="R18" i="1"/>
  <c r="N6" i="1"/>
  <c r="R17" i="1"/>
  <c r="P17" i="1"/>
  <c r="Q21" i="1"/>
  <c r="Q17" i="1"/>
  <c r="P12" i="1"/>
  <c r="Q16" i="1"/>
  <c r="N10" i="1"/>
  <c r="P11" i="1"/>
  <c r="Q15" i="1"/>
  <c r="R13" i="1"/>
  <c r="Q7" i="1"/>
  <c r="P20" i="1"/>
  <c r="Q22" i="1"/>
  <c r="P6" i="1"/>
  <c r="P10" i="1"/>
  <c r="Q9" i="1"/>
  <c r="R12" i="1"/>
  <c r="Q23" i="1"/>
  <c r="P13" i="1"/>
  <c r="P25" i="1"/>
  <c r="P9" i="1"/>
  <c r="Q8" i="1"/>
  <c r="R11" i="1"/>
  <c r="R21" i="1"/>
  <c r="R10" i="1"/>
  <c r="N19" i="1"/>
  <c r="N13" i="1"/>
  <c r="P19" i="1"/>
  <c r="Q25" i="1"/>
  <c r="Q14" i="1"/>
  <c r="R20" i="1"/>
  <c r="R9" i="1"/>
  <c r="N18" i="1"/>
  <c r="N12" i="1"/>
  <c r="P18" i="1"/>
  <c r="Q24" i="1"/>
  <c r="Q13" i="1"/>
  <c r="R19" i="1"/>
  <c r="O9" i="1"/>
  <c r="O16" i="1"/>
  <c r="O7" i="1"/>
  <c r="O22" i="1"/>
  <c r="N9" i="1"/>
  <c r="N24" i="1"/>
  <c r="N16" i="1"/>
  <c r="N8" i="1"/>
  <c r="O20" i="1"/>
  <c r="O12" i="1"/>
  <c r="P24" i="1"/>
  <c r="P16" i="1"/>
  <c r="P8" i="1"/>
  <c r="Q20" i="1"/>
  <c r="Q12" i="1"/>
  <c r="R24" i="1"/>
  <c r="R16" i="1"/>
  <c r="R8" i="1"/>
  <c r="O25" i="1"/>
  <c r="O8" i="1"/>
  <c r="O23" i="1"/>
  <c r="O14" i="1"/>
  <c r="N17" i="1"/>
  <c r="N23" i="1"/>
  <c r="N15" i="1"/>
  <c r="N7" i="1"/>
  <c r="O19" i="1"/>
  <c r="O11" i="1"/>
  <c r="P23" i="1"/>
  <c r="P15" i="1"/>
  <c r="P7" i="1"/>
  <c r="Q19" i="1"/>
  <c r="Q11" i="1"/>
  <c r="R23" i="1"/>
  <c r="R15" i="1"/>
  <c r="R7" i="1"/>
  <c r="O17" i="1"/>
  <c r="O24" i="1"/>
  <c r="O15" i="1"/>
  <c r="N25" i="1"/>
  <c r="O21" i="1"/>
  <c r="O13" i="1"/>
  <c r="N22" i="1"/>
  <c r="O6" i="1"/>
  <c r="O18" i="1"/>
  <c r="P22" i="1"/>
  <c r="Q6" i="1"/>
  <c r="Q18" i="1"/>
  <c r="R22" i="1"/>
  <c r="AA40" i="2" l="1"/>
  <c r="AF40" i="2" s="1" a="1"/>
  <c r="AF40" i="2" s="1"/>
  <c r="AG45" i="2" s="1"/>
  <c r="AG46" i="2" s="1"/>
  <c r="AF50" i="2" s="1"/>
  <c r="AF17" i="2" a="1"/>
  <c r="AF17" i="2" s="1"/>
  <c r="AG22" i="2" s="1"/>
  <c r="AG23" i="2" s="1"/>
  <c r="U5" i="1" a="1"/>
  <c r="U5" i="1" s="1"/>
  <c r="T12" i="1" l="1" a="1"/>
  <c r="T12" i="1" s="1"/>
  <c r="Z12" i="1" s="1" a="1"/>
  <c r="Z12" i="1" s="1"/>
  <c r="AF12" i="1" s="1" a="1"/>
  <c r="AF12" i="1" s="1"/>
  <c r="U29" i="1" l="1" a="1"/>
  <c r="U29" i="1" s="1"/>
  <c r="U30" i="1" a="1"/>
  <c r="U30" i="1" s="1"/>
  <c r="U26" i="1" a="1"/>
  <c r="U26" i="1" s="1"/>
  <c r="U32" i="1" a="1"/>
  <c r="U32" i="1" s="1"/>
  <c r="U31" i="1" a="1"/>
  <c r="U31" i="1" s="1"/>
  <c r="U34" i="1" a="1"/>
  <c r="U34" i="1" s="1"/>
  <c r="U24" i="1" a="1"/>
  <c r="U24" i="1" s="1"/>
  <c r="U40" i="1" a="1"/>
  <c r="U40" i="1" s="1"/>
  <c r="U37" i="1" a="1"/>
  <c r="U37" i="1" s="1"/>
  <c r="U38" i="1" a="1"/>
  <c r="U38" i="1" s="1"/>
  <c r="U35" i="1" a="1"/>
  <c r="U35" i="1" s="1"/>
  <c r="U27" i="1" a="1"/>
  <c r="U27" i="1" s="1"/>
  <c r="U23" i="1" a="1"/>
  <c r="U23" i="1" s="1"/>
  <c r="U33" i="1" a="1"/>
  <c r="U33" i="1" s="1"/>
  <c r="U28" i="1" a="1"/>
  <c r="U28" i="1" s="1"/>
  <c r="U21" i="1" a="1"/>
  <c r="U21" i="1" s="1"/>
  <c r="U36" i="1" a="1"/>
  <c r="U36" i="1" s="1"/>
  <c r="U25" i="1" a="1"/>
  <c r="U25" i="1" s="1"/>
  <c r="U22" i="1" a="1"/>
  <c r="U2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<sst xmlns="http://schemas.openxmlformats.org/spreadsheetml/2006/main" count="181" uniqueCount="149">
  <si>
    <t>Player</t>
  </si>
  <si>
    <t>Goals</t>
  </si>
  <si>
    <t>Assists</t>
  </si>
  <si>
    <t>Shots</t>
  </si>
  <si>
    <t>Yellow Cards</t>
  </si>
  <si>
    <t>Minutes Played</t>
  </si>
  <si>
    <t>Mohamed Salah</t>
  </si>
  <si>
    <t>Sadio Mané</t>
  </si>
  <si>
    <t>Roberto Firmino</t>
  </si>
  <si>
    <t>Xherdan Shaqiri</t>
  </si>
  <si>
    <t>James Milner</t>
  </si>
  <si>
    <t>Trent Alexander-Arnold</t>
  </si>
  <si>
    <t>Andrew Robertson</t>
  </si>
  <si>
    <t>Virgil van Dijk</t>
  </si>
  <si>
    <t>Divock Origi</t>
  </si>
  <si>
    <t>Georginio Wijnaldum</t>
  </si>
  <si>
    <t>Daniel Sturridge</t>
  </si>
  <si>
    <t>Naby Keïta</t>
  </si>
  <si>
    <t>Jordan Henderson</t>
  </si>
  <si>
    <t>Fabinho</t>
  </si>
  <si>
    <t>Dejan Lovren</t>
  </si>
  <si>
    <t>Joel Matip</t>
  </si>
  <si>
    <t>Alberto Moreno</t>
  </si>
  <si>
    <t>Nathaniel Clyne</t>
  </si>
  <si>
    <t>Adam Lallana</t>
  </si>
  <si>
    <t>Joe Gomez</t>
  </si>
  <si>
    <t>X1</t>
  </si>
  <si>
    <t>X2</t>
  </si>
  <si>
    <t>X3</t>
  </si>
  <si>
    <t>X4</t>
  </si>
  <si>
    <t>X5</t>
  </si>
  <si>
    <t>X1s</t>
  </si>
  <si>
    <t>X2s</t>
  </si>
  <si>
    <t>X3s</t>
  </si>
  <si>
    <t>X4s</t>
  </si>
  <si>
    <t>X5s</t>
  </si>
  <si>
    <t>ortalama</t>
  </si>
  <si>
    <t>Varans</t>
  </si>
  <si>
    <t>Std.Sapma</t>
  </si>
  <si>
    <t>Xs</t>
  </si>
  <si>
    <t>Xs'</t>
  </si>
  <si>
    <t>SSCP</t>
  </si>
  <si>
    <t>S=(1/(21-1))/SSCP</t>
  </si>
  <si>
    <t>S=</t>
  </si>
  <si>
    <t>S-1=</t>
  </si>
  <si>
    <t>Data table with key statistics for 20 Liverpool players from the 2018-19 season</t>
  </si>
  <si>
    <t xml:space="preserve">mi1^2 = </t>
  </si>
  <si>
    <t xml:space="preserve">mi2^2 = </t>
  </si>
  <si>
    <t>mi3^2=</t>
  </si>
  <si>
    <t>mi4^2=</t>
  </si>
  <si>
    <t>mi5^2=</t>
  </si>
  <si>
    <t>mi6^2=</t>
  </si>
  <si>
    <t>mi7^2=</t>
  </si>
  <si>
    <t>mi8^2=</t>
  </si>
  <si>
    <t>mi9^2=</t>
  </si>
  <si>
    <t>mi10^2=</t>
  </si>
  <si>
    <t>mi11^2=</t>
  </si>
  <si>
    <t>mi12^2=</t>
  </si>
  <si>
    <t>mi13^2=</t>
  </si>
  <si>
    <t>mi14^2=</t>
  </si>
  <si>
    <t>mi15^2=</t>
  </si>
  <si>
    <t>mi16^2=</t>
  </si>
  <si>
    <t>mi17^2=</t>
  </si>
  <si>
    <t>mi18^2=</t>
  </si>
  <si>
    <t>mi19^2=</t>
  </si>
  <si>
    <t>mi20^2=</t>
  </si>
  <si>
    <t>Mahanolobis distance = mi^2 = (xi-xort)'.S-1.(xi-xort)</t>
  </si>
  <si>
    <t>Sort mi2 from lowest to highest</t>
  </si>
  <si>
    <t>Percentage Probability = pi =(i-0,5)/n</t>
  </si>
  <si>
    <t>Chi-square values according to percentage probabilities with df=5</t>
  </si>
  <si>
    <t>Comparison</t>
  </si>
  <si>
    <t>p = 5</t>
  </si>
  <si>
    <t>n = 20</t>
  </si>
  <si>
    <t>(8/20).100=</t>
  </si>
  <si>
    <t>Kriter %</t>
  </si>
  <si>
    <t>Hesaplanan %</t>
  </si>
  <si>
    <t>40&lt;50 = &gt; oldugundan 5 degiskenli NORMAL dagilim gostermektedir</t>
  </si>
  <si>
    <t>Last 9 opponents in Pl and CL</t>
  </si>
  <si>
    <t>x1 = Passes Completed</t>
  </si>
  <si>
    <t>x2 = Possession percentage</t>
  </si>
  <si>
    <t>x3 = Shots on Target</t>
  </si>
  <si>
    <t>x4 = xG</t>
  </si>
  <si>
    <t>Crystal Palace</t>
  </si>
  <si>
    <t>Bologna</t>
  </si>
  <si>
    <t>Wolves</t>
  </si>
  <si>
    <t>Bournemouth</t>
  </si>
  <si>
    <t>Milan</t>
  </si>
  <si>
    <t>Forest</t>
  </si>
  <si>
    <t>0.94</t>
  </si>
  <si>
    <t>Man Utd</t>
  </si>
  <si>
    <t>Brentford</t>
  </si>
  <si>
    <t>Ipswich</t>
  </si>
  <si>
    <t xml:space="preserve">Grup 1 </t>
  </si>
  <si>
    <t>x1</t>
  </si>
  <si>
    <t>x2</t>
  </si>
  <si>
    <t>x3</t>
  </si>
  <si>
    <t>x4</t>
  </si>
  <si>
    <t>X</t>
  </si>
  <si>
    <t>Xs'=</t>
  </si>
  <si>
    <t>T = SSCP=</t>
  </si>
  <si>
    <t>Ortalama</t>
  </si>
  <si>
    <t>Varyans</t>
  </si>
  <si>
    <t>Std.sapma</t>
  </si>
  <si>
    <t>Sira No</t>
  </si>
  <si>
    <t>Xs1'</t>
  </si>
  <si>
    <t>SSCPw1 = Xs1'.Xs1</t>
  </si>
  <si>
    <t>1.grup ort.vek.</t>
  </si>
  <si>
    <t>Grup 2</t>
  </si>
  <si>
    <t>Xs2'</t>
  </si>
  <si>
    <t>SSCPw2 = Xs2'.Xs2</t>
  </si>
  <si>
    <t>2.grup ort.vek.</t>
  </si>
  <si>
    <t>W=W1+W2</t>
  </si>
  <si>
    <t>XsB</t>
  </si>
  <si>
    <t>1. Grub’un Grup İçi Ortalamalarının Genel Ortalamalardan sapmaları matrisi</t>
  </si>
  <si>
    <t>2. Grub’un Grup İçi Ortalamalarının Genel Ortalamalardan sapmaları matrisi</t>
  </si>
  <si>
    <t>Average</t>
  </si>
  <si>
    <t>XsB'</t>
  </si>
  <si>
    <t>B = Between =</t>
  </si>
  <si>
    <t>T = B + W</t>
  </si>
  <si>
    <t>1.grup Varyans</t>
  </si>
  <si>
    <t>1.grup Std.Sapma</t>
  </si>
  <si>
    <t>X1z</t>
  </si>
  <si>
    <t>Variable Name</t>
  </si>
  <si>
    <t>2.grup Varyans</t>
  </si>
  <si>
    <t>2.grup Std.Sapma</t>
  </si>
  <si>
    <t>X2z</t>
  </si>
  <si>
    <t>S2 =&gt; Var-Cov Matrisi</t>
  </si>
  <si>
    <t>S1 =&gt; Var-Cov Matrisi</t>
  </si>
  <si>
    <t>S1 (Determinant)=</t>
  </si>
  <si>
    <t>ln(S1)=</t>
  </si>
  <si>
    <t>S2(Determinant)=</t>
  </si>
  <si>
    <t>ln(S2)=</t>
  </si>
  <si>
    <t>S0 = W/(n-k) Var-Cov Matrisi</t>
  </si>
  <si>
    <t>S0(Determinant)=</t>
  </si>
  <si>
    <t>ln(S0)=</t>
  </si>
  <si>
    <t>Box M = (n-k)*ln(S0) - (((n1-1)*ln(S1))+((n2-1)*ln(S2)))</t>
  </si>
  <si>
    <r>
      <t>•</t>
    </r>
    <r>
      <rPr>
        <i/>
        <sz val="12"/>
        <color rgb="FF000000"/>
        <rFont val="Calibri"/>
        <family val="2"/>
      </rPr>
      <t>k : Karşılaştırılacak kovaryans matrislerinin (grup) sayısı</t>
    </r>
  </si>
  <si>
    <r>
      <t>•</t>
    </r>
    <r>
      <rPr>
        <i/>
        <sz val="12"/>
        <color rgb="FF000000"/>
        <rFont val="Calibri"/>
        <family val="2"/>
      </rPr>
      <t>p : Kovaryans matrislerindeki (gruplardaki) değişken sayısı</t>
    </r>
  </si>
  <si>
    <r>
      <t>•</t>
    </r>
    <r>
      <rPr>
        <b/>
        <i/>
        <sz val="12"/>
        <color rgb="FF000000"/>
        <rFont val="Calibri"/>
        <family val="2"/>
      </rPr>
      <t>S</t>
    </r>
    <r>
      <rPr>
        <b/>
        <i/>
        <vertAlign val="subscript"/>
        <sz val="12"/>
        <color rgb="FF000000"/>
        <rFont val="Calibri"/>
        <family val="2"/>
      </rPr>
      <t>i</t>
    </r>
    <r>
      <rPr>
        <i/>
        <sz val="12"/>
        <color rgb="FF000000"/>
        <rFont val="Calibri"/>
        <family val="2"/>
      </rPr>
      <t>: Kovaryans matrisleri (i=1,........,k)</t>
    </r>
  </si>
  <si>
    <r>
      <t>•</t>
    </r>
    <r>
      <rPr>
        <i/>
        <sz val="12"/>
        <color rgb="FF000000"/>
        <rFont val="Calibri"/>
        <family val="2"/>
      </rPr>
      <t>n</t>
    </r>
    <r>
      <rPr>
        <i/>
        <vertAlign val="subscript"/>
        <sz val="12"/>
        <color rgb="FF000000"/>
        <rFont val="Calibri"/>
        <family val="2"/>
      </rPr>
      <t>i</t>
    </r>
    <r>
      <rPr>
        <i/>
        <sz val="12"/>
        <color rgb="FF000000"/>
        <rFont val="Calibri"/>
        <family val="2"/>
      </rPr>
      <t xml:space="preserve"> : Gözlem sayısı olmak üzere daha öncede açıklandığı üzere;</t>
    </r>
  </si>
  <si>
    <t>e1=</t>
  </si>
  <si>
    <t>e2=</t>
  </si>
  <si>
    <t>b=</t>
  </si>
  <si>
    <t xml:space="preserve">Fhes = BoxM/b =  </t>
  </si>
  <si>
    <t xml:space="preserve">F(0.05; 10; 7.74) = </t>
  </si>
  <si>
    <t>H0 = Var-Cov esittir</t>
  </si>
  <si>
    <t>H1= Var-Cov esit degildir</t>
  </si>
  <si>
    <t xml:space="preserve"> Fhes &gt; Ftab</t>
  </si>
  <si>
    <t>H0 red Var-Cov matrisleri esit degildir.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</si>
</sst>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76" formatCode="0.0E+00"/>
  </numFmts>
  <fonts count="19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25"/>
      <color rgb="FFFF0000"/>
      <name val="Aptos Narrow"/>
      <scheme val="minor"/>
    </font>
    <font>
      <b/>
      <sz val="12"/>
      <color rgb="FFFF0000"/>
      <name val="Aptos Narrow"/>
      <scheme val="minor"/>
    </font>
    <font>
      <b/>
      <sz val="12"/>
      <color rgb="FFFF0000"/>
      <name val="Aptos Narrow"/>
      <family val="2"/>
      <scheme val="minor"/>
    </font>
    <font>
      <sz val="12"/>
      <color theme="1"/>
      <name val="Aptos Narrow"/>
      <scheme val="minor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scheme val="minor"/>
    </font>
    <font>
      <b/>
      <sz val="10"/>
      <color theme="1"/>
      <name val="Aptos Narrow"/>
      <scheme val="minor"/>
    </font>
    <font>
      <b/>
      <i/>
      <sz val="12"/>
      <color theme="1"/>
      <name val="Aptos Narrow"/>
      <scheme val="minor"/>
    </font>
    <font>
      <i/>
      <sz val="12"/>
      <color rgb="FF000000"/>
      <name val="Calibri"/>
      <family val="2"/>
    </font>
    <font>
      <i/>
      <sz val="12"/>
      <color theme="1"/>
      <name val="Arial"/>
      <family val="2"/>
    </font>
    <font>
      <i/>
      <sz val="12"/>
      <color theme="1"/>
      <name val="Aptos Narrow"/>
      <family val="2"/>
      <scheme val="minor"/>
    </font>
    <font>
      <b/>
      <i/>
      <sz val="12"/>
      <color rgb="FF000000"/>
      <name val="Calibri"/>
      <family val="2"/>
    </font>
    <font>
      <b/>
      <i/>
      <vertAlign val="subscript"/>
      <sz val="12"/>
      <color rgb="FF000000"/>
      <name val="Calibri"/>
      <family val="2"/>
    </font>
    <font>
      <i/>
      <vertAlign val="subscript"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168" fontId="0" fillId="0" borderId="0" xfId="0" applyNumberFormat="1"/>
    <xf numFmtId="2" fontId="0" fillId="0" borderId="0" xfId="0" applyNumberFormat="1"/>
    <xf numFmtId="0" fontId="5" fillId="0" borderId="16" xfId="0" applyFont="1" applyBorder="1" applyAlignment="1">
      <alignment horizontal="center" wrapText="1"/>
    </xf>
    <xf numFmtId="0" fontId="6" fillId="0" borderId="0" xfId="0" applyFont="1" applyFill="1" applyBorder="1" applyAlignment="1">
      <alignment horizontal="right"/>
    </xf>
    <xf numFmtId="0" fontId="2" fillId="0" borderId="1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7" fillId="0" borderId="21" xfId="0" applyFont="1" applyFill="1" applyBorder="1" applyAlignment="1">
      <alignment horizontal="right"/>
    </xf>
    <xf numFmtId="0" fontId="7" fillId="0" borderId="22" xfId="0" applyFont="1" applyBorder="1" applyAlignment="1">
      <alignment horizontal="right"/>
    </xf>
    <xf numFmtId="0" fontId="7" fillId="0" borderId="23" xfId="0" applyFont="1" applyBorder="1" applyAlignment="1">
      <alignment horizontal="right"/>
    </xf>
    <xf numFmtId="0" fontId="0" fillId="0" borderId="0" xfId="0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Alignment="1">
      <alignment horizontal="right"/>
    </xf>
    <xf numFmtId="168" fontId="0" fillId="0" borderId="10" xfId="0" applyNumberFormat="1" applyBorder="1"/>
    <xf numFmtId="168" fontId="0" fillId="0" borderId="11" xfId="0" applyNumberFormat="1" applyBorder="1"/>
    <xf numFmtId="168" fontId="0" fillId="0" borderId="12" xfId="0" applyNumberFormat="1" applyBorder="1"/>
    <xf numFmtId="168" fontId="0" fillId="0" borderId="13" xfId="0" applyNumberFormat="1" applyBorder="1"/>
    <xf numFmtId="168" fontId="0" fillId="0" borderId="0" xfId="0" applyNumberFormat="1" applyBorder="1"/>
    <xf numFmtId="168" fontId="0" fillId="0" borderId="14" xfId="0" applyNumberFormat="1" applyBorder="1"/>
    <xf numFmtId="168" fontId="0" fillId="0" borderId="15" xfId="0" applyNumberFormat="1" applyBorder="1"/>
    <xf numFmtId="168" fontId="0" fillId="0" borderId="16" xfId="0" applyNumberFormat="1" applyBorder="1"/>
    <xf numFmtId="168" fontId="0" fillId="0" borderId="17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0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wrapText="1"/>
    </xf>
    <xf numFmtId="0" fontId="11" fillId="0" borderId="12" xfId="0" applyFont="1" applyBorder="1" applyAlignment="1">
      <alignment horizontal="center" wrapText="1"/>
    </xf>
    <xf numFmtId="0" fontId="11" fillId="0" borderId="15" xfId="0" applyFont="1" applyBorder="1" applyAlignment="1">
      <alignment horizontal="center" wrapText="1"/>
    </xf>
    <xf numFmtId="0" fontId="11" fillId="0" borderId="17" xfId="0" applyFont="1" applyBorder="1" applyAlignment="1">
      <alignment horizontal="center" wrapText="1"/>
    </xf>
    <xf numFmtId="0" fontId="0" fillId="0" borderId="10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5" xfId="0" applyBorder="1" applyAlignment="1">
      <alignment horizontal="right"/>
    </xf>
    <xf numFmtId="0" fontId="10" fillId="0" borderId="21" xfId="0" applyFont="1" applyBorder="1" applyAlignment="1">
      <alignment horizontal="center" wrapText="1"/>
    </xf>
    <xf numFmtId="0" fontId="10" fillId="0" borderId="23" xfId="0" applyFont="1" applyBorder="1" applyAlignment="1">
      <alignment horizontal="center" wrapTex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5" xfId="0" applyBorder="1" applyAlignment="1">
      <alignment horizontal="center" wrapText="1"/>
    </xf>
    <xf numFmtId="0" fontId="9" fillId="0" borderId="21" xfId="0" applyFont="1" applyBorder="1" applyAlignment="1">
      <alignment horizontal="center" wrapText="1"/>
    </xf>
    <xf numFmtId="0" fontId="9" fillId="0" borderId="23" xfId="0" applyFont="1" applyBorder="1" applyAlignment="1">
      <alignment horizontal="center" wrapText="1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68" fontId="0" fillId="2" borderId="21" xfId="0" applyNumberFormat="1" applyFill="1" applyBorder="1"/>
    <xf numFmtId="168" fontId="0" fillId="2" borderId="22" xfId="0" applyNumberFormat="1" applyFill="1" applyBorder="1"/>
    <xf numFmtId="168" fontId="0" fillId="2" borderId="23" xfId="0" applyNumberFormat="1" applyFill="1" applyBorder="1"/>
    <xf numFmtId="2" fontId="0" fillId="2" borderId="21" xfId="0" applyNumberFormat="1" applyFill="1" applyBorder="1"/>
    <xf numFmtId="2" fontId="0" fillId="2" borderId="22" xfId="0" applyNumberFormat="1" applyFill="1" applyBorder="1"/>
    <xf numFmtId="2" fontId="0" fillId="2" borderId="23" xfId="0" applyNumberFormat="1" applyFill="1" applyBorder="1"/>
    <xf numFmtId="0" fontId="0" fillId="4" borderId="21" xfId="0" applyFill="1" applyBorder="1"/>
    <xf numFmtId="0" fontId="0" fillId="4" borderId="22" xfId="0" applyFill="1" applyBorder="1"/>
    <xf numFmtId="0" fontId="0" fillId="3" borderId="22" xfId="0" applyFill="1" applyBorder="1"/>
    <xf numFmtId="0" fontId="0" fillId="3" borderId="23" xfId="0" applyFill="1" applyBorder="1"/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 wrapText="1"/>
    </xf>
    <xf numFmtId="0" fontId="0" fillId="0" borderId="9" xfId="0" applyBorder="1" applyAlignment="1">
      <alignment horizontal="right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  <xf numFmtId="0" fontId="1" fillId="0" borderId="0" xfId="0" applyFont="1" applyAlignment="1">
      <alignment horizontal="center" wrapText="1"/>
    </xf>
    <xf numFmtId="0" fontId="0" fillId="0" borderId="9" xfId="0" applyBorder="1"/>
    <xf numFmtId="2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3" fillId="0" borderId="9" xfId="0" applyFont="1" applyBorder="1" applyAlignment="1">
      <alignment horizontal="right"/>
    </xf>
    <xf numFmtId="2" fontId="3" fillId="0" borderId="19" xfId="0" applyNumberFormat="1" applyFont="1" applyBorder="1" applyAlignment="1">
      <alignment horizontal="center"/>
    </xf>
    <xf numFmtId="2" fontId="3" fillId="0" borderId="20" xfId="0" applyNumberFormat="1" applyFont="1" applyBorder="1" applyAlignment="1">
      <alignment horizontal="center"/>
    </xf>
    <xf numFmtId="2" fontId="7" fillId="0" borderId="10" xfId="0" applyNumberFormat="1" applyFont="1" applyBorder="1" applyAlignment="1">
      <alignment horizontal="center"/>
    </xf>
    <xf numFmtId="2" fontId="7" fillId="0" borderId="11" xfId="0" applyNumberFormat="1" applyFont="1" applyBorder="1" applyAlignment="1">
      <alignment horizontal="center"/>
    </xf>
    <xf numFmtId="2" fontId="7" fillId="0" borderId="12" xfId="0" applyNumberFormat="1" applyFont="1" applyBorder="1" applyAlignment="1">
      <alignment horizontal="center"/>
    </xf>
    <xf numFmtId="0" fontId="7" fillId="0" borderId="0" xfId="0" applyFont="1"/>
    <xf numFmtId="2" fontId="7" fillId="0" borderId="13" xfId="0" applyNumberFormat="1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2" fontId="7" fillId="0" borderId="14" xfId="0" applyNumberFormat="1" applyFont="1" applyBorder="1" applyAlignment="1">
      <alignment horizontal="center"/>
    </xf>
    <xf numFmtId="2" fontId="7" fillId="0" borderId="15" xfId="0" applyNumberFormat="1" applyFont="1" applyBorder="1" applyAlignment="1">
      <alignment horizontal="center"/>
    </xf>
    <xf numFmtId="2" fontId="7" fillId="0" borderId="16" xfId="0" applyNumberFormat="1" applyFont="1" applyBorder="1" applyAlignment="1">
      <alignment horizontal="center"/>
    </xf>
    <xf numFmtId="2" fontId="7" fillId="0" borderId="17" xfId="0" applyNumberFormat="1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2" fillId="0" borderId="0" xfId="0" applyFont="1" applyAlignment="1">
      <alignment horizontal="right"/>
    </xf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12" fillId="0" borderId="0" xfId="0" applyFont="1" applyAlignment="1">
      <alignment horizontal="center"/>
    </xf>
    <xf numFmtId="2" fontId="0" fillId="0" borderId="18" xfId="0" applyNumberFormat="1" applyBorder="1" applyAlignment="1">
      <alignment horizontal="center"/>
    </xf>
    <xf numFmtId="0" fontId="0" fillId="0" borderId="9" xfId="0" applyFill="1" applyBorder="1" applyAlignment="1">
      <alignment horizontal="center"/>
    </xf>
    <xf numFmtId="176" fontId="0" fillId="0" borderId="0" xfId="0" applyNumberFormat="1"/>
    <xf numFmtId="2" fontId="0" fillId="0" borderId="0" xfId="0" applyNumberFormat="1" applyBorder="1" applyAlignment="1">
      <alignment horizontal="center"/>
    </xf>
    <xf numFmtId="0" fontId="12" fillId="0" borderId="0" xfId="0" applyFont="1" applyAlignment="1">
      <alignment horizontal="center"/>
    </xf>
    <xf numFmtId="2" fontId="12" fillId="0" borderId="0" xfId="0" applyNumberFormat="1" applyFont="1" applyAlignment="1">
      <alignment horizontal="center"/>
    </xf>
    <xf numFmtId="0" fontId="0" fillId="0" borderId="0" xfId="0" applyFont="1"/>
    <xf numFmtId="0" fontId="14" fillId="0" borderId="0" xfId="0" applyFont="1" applyAlignment="1">
      <alignment horizontal="left" vertical="center" indent="3" readingOrder="1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9E7F-684B-584D-A7B6-47D028FC76E7}">
  <dimension ref="A1:AN41"/>
  <sheetViews>
    <sheetView zoomScaleNormal="112" workbookViewId="0">
      <selection sqref="A1:F25"/>
    </sheetView>
  </sheetViews>
  <sheetFormatPr baseColWidth="10" defaultRowHeight="16" x14ac:dyDescent="0.2"/>
  <cols>
    <col min="1" max="1" width="19.83203125" bestFit="1" customWidth="1"/>
    <col min="5" max="5" width="11.83203125" bestFit="1" customWidth="1"/>
    <col min="6" max="6" width="13.83203125" bestFit="1" customWidth="1"/>
    <col min="8" max="9" width="9" bestFit="1" customWidth="1"/>
    <col min="10" max="10" width="12.83203125" bestFit="1" customWidth="1"/>
    <col min="11" max="11" width="7.83203125" bestFit="1" customWidth="1"/>
    <col min="12" max="12" width="14.33203125" bestFit="1" customWidth="1"/>
    <col min="21" max="21" width="9.1640625" bestFit="1" customWidth="1"/>
    <col min="30" max="30" width="11.33203125" bestFit="1" customWidth="1"/>
  </cols>
  <sheetData>
    <row r="1" spans="1:40" ht="16" customHeight="1" x14ac:dyDescent="0.2">
      <c r="A1" s="2" t="s">
        <v>45</v>
      </c>
      <c r="B1" s="3"/>
      <c r="C1" s="3"/>
      <c r="D1" s="3"/>
      <c r="E1" s="3"/>
      <c r="F1" s="4"/>
    </row>
    <row r="2" spans="1:40" x14ac:dyDescent="0.2">
      <c r="A2" s="5"/>
      <c r="B2" s="6"/>
      <c r="C2" s="6"/>
      <c r="D2" s="6"/>
      <c r="E2" s="6"/>
      <c r="F2" s="7"/>
      <c r="H2" s="28" t="s">
        <v>26</v>
      </c>
      <c r="I2" s="29" t="s">
        <v>27</v>
      </c>
      <c r="J2" s="29" t="s">
        <v>28</v>
      </c>
      <c r="K2" s="29" t="s">
        <v>29</v>
      </c>
      <c r="L2" s="30" t="s">
        <v>30</v>
      </c>
    </row>
    <row r="3" spans="1:40" x14ac:dyDescent="0.2">
      <c r="A3" s="5"/>
      <c r="B3" s="6"/>
      <c r="C3" s="6"/>
      <c r="D3" s="6"/>
      <c r="E3" s="6"/>
      <c r="F3" s="7"/>
      <c r="H3" s="20">
        <v>22</v>
      </c>
      <c r="I3" s="21">
        <v>8</v>
      </c>
      <c r="J3" s="21">
        <v>134</v>
      </c>
      <c r="K3" s="21">
        <v>1</v>
      </c>
      <c r="L3" s="22">
        <v>3250</v>
      </c>
    </row>
    <row r="4" spans="1:40" ht="18" customHeight="1" thickBot="1" x14ac:dyDescent="0.25">
      <c r="A4" s="8"/>
      <c r="B4" s="9"/>
      <c r="C4" s="9"/>
      <c r="D4" s="9"/>
      <c r="E4" s="9"/>
      <c r="F4" s="10"/>
      <c r="H4" s="23">
        <v>22</v>
      </c>
      <c r="I4" s="15">
        <v>1</v>
      </c>
      <c r="J4" s="15">
        <v>90</v>
      </c>
      <c r="K4" s="15">
        <v>2</v>
      </c>
      <c r="L4" s="24">
        <v>3077</v>
      </c>
      <c r="N4" s="33" t="s">
        <v>39</v>
      </c>
      <c r="O4" s="33"/>
      <c r="P4" s="33"/>
      <c r="Q4" s="33"/>
      <c r="R4" s="33"/>
    </row>
    <row r="5" spans="1:40" x14ac:dyDescent="0.2">
      <c r="A5" s="11" t="s">
        <v>0</v>
      </c>
      <c r="B5" s="12" t="s">
        <v>1</v>
      </c>
      <c r="C5" s="12" t="s">
        <v>2</v>
      </c>
      <c r="D5" s="12" t="s">
        <v>3</v>
      </c>
      <c r="E5" s="12" t="s">
        <v>4</v>
      </c>
      <c r="F5" s="13" t="s">
        <v>5</v>
      </c>
      <c r="H5" s="23">
        <v>12</v>
      </c>
      <c r="I5" s="15">
        <v>6</v>
      </c>
      <c r="J5" s="15">
        <v>73</v>
      </c>
      <c r="K5" s="15">
        <v>0</v>
      </c>
      <c r="L5" s="24">
        <v>2607</v>
      </c>
      <c r="N5" s="28" t="s">
        <v>31</v>
      </c>
      <c r="O5" s="29" t="s">
        <v>32</v>
      </c>
      <c r="P5" s="29" t="s">
        <v>33</v>
      </c>
      <c r="Q5" s="29" t="s">
        <v>34</v>
      </c>
      <c r="R5" s="30" t="s">
        <v>35</v>
      </c>
      <c r="S5" s="34" t="s">
        <v>40</v>
      </c>
      <c r="T5" s="37" t="s">
        <v>31</v>
      </c>
      <c r="U5" s="35" cm="1">
        <f t="array" ref="U5:AN9">TRANSPOSE(N6:R25)</f>
        <v>17.7</v>
      </c>
      <c r="V5" s="21">
        <v>17.7</v>
      </c>
      <c r="W5" s="21">
        <v>7.7</v>
      </c>
      <c r="X5" s="21">
        <v>1.7000000000000002</v>
      </c>
      <c r="Y5" s="21">
        <v>0.70000000000000018</v>
      </c>
      <c r="Z5" s="21">
        <v>-3.3</v>
      </c>
      <c r="AA5" s="21">
        <v>-4.3</v>
      </c>
      <c r="AB5" s="21">
        <v>-0.29999999999999982</v>
      </c>
      <c r="AC5" s="21">
        <v>-1.2999999999999998</v>
      </c>
      <c r="AD5" s="21">
        <v>-1.2999999999999998</v>
      </c>
      <c r="AE5" s="21">
        <v>-2.2999999999999998</v>
      </c>
      <c r="AF5" s="21">
        <v>-2.2999999999999998</v>
      </c>
      <c r="AG5" s="21">
        <v>-3.3</v>
      </c>
      <c r="AH5" s="21">
        <v>-3.3</v>
      </c>
      <c r="AI5" s="21">
        <v>-3.3</v>
      </c>
      <c r="AJ5" s="21">
        <v>-3.3</v>
      </c>
      <c r="AK5" s="21">
        <v>-4.3</v>
      </c>
      <c r="AL5" s="21">
        <v>-4.3</v>
      </c>
      <c r="AM5" s="21">
        <v>-4.3</v>
      </c>
      <c r="AN5" s="22">
        <v>-4.3</v>
      </c>
    </row>
    <row r="6" spans="1:40" x14ac:dyDescent="0.2">
      <c r="A6" s="14" t="s">
        <v>6</v>
      </c>
      <c r="B6" s="15">
        <v>22</v>
      </c>
      <c r="C6" s="15">
        <v>8</v>
      </c>
      <c r="D6" s="15">
        <v>134</v>
      </c>
      <c r="E6" s="15">
        <v>1</v>
      </c>
      <c r="F6" s="16">
        <v>3250</v>
      </c>
      <c r="H6" s="23">
        <v>6</v>
      </c>
      <c r="I6" s="15">
        <v>3</v>
      </c>
      <c r="J6" s="15">
        <v>26</v>
      </c>
      <c r="K6" s="15">
        <v>2</v>
      </c>
      <c r="L6" s="24">
        <v>1064</v>
      </c>
      <c r="N6" s="20">
        <f>H3-$H$23</f>
        <v>17.7</v>
      </c>
      <c r="O6" s="21">
        <f>I3-$I$23</f>
        <v>5.25</v>
      </c>
      <c r="P6" s="21">
        <f>J3-$J$23</f>
        <v>105.6</v>
      </c>
      <c r="Q6" s="21">
        <f>K3-$K$23</f>
        <v>-0.8</v>
      </c>
      <c r="R6" s="22">
        <f>L3-$L$23</f>
        <v>1541.65</v>
      </c>
      <c r="T6" s="38" t="s">
        <v>32</v>
      </c>
      <c r="U6" s="23">
        <v>5.25</v>
      </c>
      <c r="V6" s="15">
        <v>-1.75</v>
      </c>
      <c r="W6" s="15">
        <v>3.25</v>
      </c>
      <c r="X6" s="15">
        <v>0.25</v>
      </c>
      <c r="Y6" s="15">
        <v>1.25</v>
      </c>
      <c r="Z6" s="15">
        <v>9.25</v>
      </c>
      <c r="AA6" s="15">
        <v>8.25</v>
      </c>
      <c r="AB6" s="15">
        <v>-0.75</v>
      </c>
      <c r="AC6" s="15">
        <v>-1.75</v>
      </c>
      <c r="AD6" s="15">
        <v>-2.75</v>
      </c>
      <c r="AE6" s="15">
        <v>-1.75</v>
      </c>
      <c r="AF6" s="15">
        <v>-1.75</v>
      </c>
      <c r="AG6" s="15">
        <v>0.25</v>
      </c>
      <c r="AH6" s="15">
        <v>-0.75</v>
      </c>
      <c r="AI6" s="15">
        <v>-2.75</v>
      </c>
      <c r="AJ6" s="15">
        <v>-2.75</v>
      </c>
      <c r="AK6" s="15">
        <v>-2.75</v>
      </c>
      <c r="AL6" s="15">
        <v>-2.75</v>
      </c>
      <c r="AM6" s="15">
        <v>-2.75</v>
      </c>
      <c r="AN6" s="24">
        <v>-2.75</v>
      </c>
    </row>
    <row r="7" spans="1:40" x14ac:dyDescent="0.2">
      <c r="A7" s="14" t="s">
        <v>7</v>
      </c>
      <c r="B7" s="15">
        <v>22</v>
      </c>
      <c r="C7" s="15">
        <v>1</v>
      </c>
      <c r="D7" s="15">
        <v>90</v>
      </c>
      <c r="E7" s="15">
        <v>2</v>
      </c>
      <c r="F7" s="16">
        <v>3077</v>
      </c>
      <c r="H7" s="23">
        <v>5</v>
      </c>
      <c r="I7" s="15">
        <v>4</v>
      </c>
      <c r="J7" s="15">
        <v>21</v>
      </c>
      <c r="K7" s="15">
        <v>5</v>
      </c>
      <c r="L7" s="24">
        <v>1789</v>
      </c>
      <c r="N7" s="23">
        <f>H4-$H$23</f>
        <v>17.7</v>
      </c>
      <c r="O7" s="15">
        <f>I4-$I$23</f>
        <v>-1.75</v>
      </c>
      <c r="P7" s="15">
        <f>J4-$J$23</f>
        <v>61.6</v>
      </c>
      <c r="Q7" s="15">
        <f>K4-$K$23</f>
        <v>0.19999999999999996</v>
      </c>
      <c r="R7" s="24">
        <f>L4-$L$23</f>
        <v>1368.65</v>
      </c>
      <c r="T7" s="38" t="s">
        <v>33</v>
      </c>
      <c r="U7" s="23">
        <v>105.6</v>
      </c>
      <c r="V7" s="15">
        <v>61.6</v>
      </c>
      <c r="W7" s="15">
        <v>44.6</v>
      </c>
      <c r="X7" s="15">
        <v>-2.3999999999999986</v>
      </c>
      <c r="Y7" s="15">
        <v>-7.3999999999999986</v>
      </c>
      <c r="Z7" s="15">
        <v>0.60000000000000142</v>
      </c>
      <c r="AA7" s="15">
        <v>-14.399999999999999</v>
      </c>
      <c r="AB7" s="15">
        <v>3.6000000000000014</v>
      </c>
      <c r="AC7" s="15">
        <v>-15.399999999999999</v>
      </c>
      <c r="AD7" s="15">
        <v>1.6000000000000014</v>
      </c>
      <c r="AE7" s="15">
        <v>-10.399999999999999</v>
      </c>
      <c r="AF7" s="15">
        <v>-1.3999999999999986</v>
      </c>
      <c r="AG7" s="15">
        <v>-12.399999999999999</v>
      </c>
      <c r="AH7" s="15">
        <v>-11.399999999999999</v>
      </c>
      <c r="AI7" s="15">
        <v>-22.4</v>
      </c>
      <c r="AJ7" s="15">
        <v>-20.399999999999999</v>
      </c>
      <c r="AK7" s="15">
        <v>-27.4</v>
      </c>
      <c r="AL7" s="15">
        <v>-25.4</v>
      </c>
      <c r="AM7" s="15">
        <v>-23.4</v>
      </c>
      <c r="AN7" s="24">
        <v>-23.4</v>
      </c>
    </row>
    <row r="8" spans="1:40" x14ac:dyDescent="0.2">
      <c r="A8" s="14" t="s">
        <v>8</v>
      </c>
      <c r="B8" s="15">
        <v>12</v>
      </c>
      <c r="C8" s="15">
        <v>6</v>
      </c>
      <c r="D8" s="15">
        <v>73</v>
      </c>
      <c r="E8" s="15">
        <v>0</v>
      </c>
      <c r="F8" s="16">
        <v>2607</v>
      </c>
      <c r="H8" s="23">
        <v>1</v>
      </c>
      <c r="I8" s="15">
        <v>12</v>
      </c>
      <c r="J8" s="15">
        <v>29</v>
      </c>
      <c r="K8" s="15">
        <v>3</v>
      </c>
      <c r="L8" s="24">
        <v>2462</v>
      </c>
      <c r="N8" s="23">
        <f>H5-$H$23</f>
        <v>7.7</v>
      </c>
      <c r="O8" s="15">
        <f>I5-$I$23</f>
        <v>3.25</v>
      </c>
      <c r="P8" s="15">
        <f>J5-$J$23</f>
        <v>44.6</v>
      </c>
      <c r="Q8" s="15">
        <f>K5-$K$23</f>
        <v>-1.8</v>
      </c>
      <c r="R8" s="24">
        <f>L5-$L$23</f>
        <v>898.65000000000009</v>
      </c>
      <c r="T8" s="38" t="s">
        <v>34</v>
      </c>
      <c r="U8" s="23">
        <v>-0.8</v>
      </c>
      <c r="V8" s="15">
        <v>0.19999999999999996</v>
      </c>
      <c r="W8" s="15">
        <v>-1.8</v>
      </c>
      <c r="X8" s="15">
        <v>0.19999999999999996</v>
      </c>
      <c r="Y8" s="15">
        <v>3.2</v>
      </c>
      <c r="Z8" s="15">
        <v>1.2</v>
      </c>
      <c r="AA8" s="15">
        <v>2.2000000000000002</v>
      </c>
      <c r="AB8" s="15">
        <v>-0.8</v>
      </c>
      <c r="AC8" s="15">
        <v>-1.8</v>
      </c>
      <c r="AD8" s="15">
        <v>1.2</v>
      </c>
      <c r="AE8" s="15">
        <v>-0.8</v>
      </c>
      <c r="AF8" s="15">
        <v>-1.8</v>
      </c>
      <c r="AG8" s="15">
        <v>-0.8</v>
      </c>
      <c r="AH8" s="15">
        <v>4.2</v>
      </c>
      <c r="AI8" s="15">
        <v>-0.8</v>
      </c>
      <c r="AJ8" s="15">
        <v>1.2</v>
      </c>
      <c r="AK8" s="15">
        <v>-1.8</v>
      </c>
      <c r="AL8" s="15">
        <v>-1.8</v>
      </c>
      <c r="AM8" s="15">
        <v>-0.8</v>
      </c>
      <c r="AN8" s="24">
        <v>0.19999999999999996</v>
      </c>
    </row>
    <row r="9" spans="1:40" x14ac:dyDescent="0.2">
      <c r="A9" s="14" t="s">
        <v>9</v>
      </c>
      <c r="B9" s="15">
        <v>6</v>
      </c>
      <c r="C9" s="15">
        <v>3</v>
      </c>
      <c r="D9" s="15">
        <v>26</v>
      </c>
      <c r="E9" s="15">
        <v>2</v>
      </c>
      <c r="F9" s="16">
        <v>1064</v>
      </c>
      <c r="H9" s="23">
        <v>0</v>
      </c>
      <c r="I9" s="15">
        <v>11</v>
      </c>
      <c r="J9" s="15">
        <v>14</v>
      </c>
      <c r="K9" s="15">
        <v>4</v>
      </c>
      <c r="L9" s="24">
        <v>3216</v>
      </c>
      <c r="N9" s="23">
        <f>H6-$H$23</f>
        <v>1.7000000000000002</v>
      </c>
      <c r="O9" s="15">
        <f>I6-$I$23</f>
        <v>0.25</v>
      </c>
      <c r="P9" s="15">
        <f>J6-$J$23</f>
        <v>-2.3999999999999986</v>
      </c>
      <c r="Q9" s="15">
        <f>K6-$K$23</f>
        <v>0.19999999999999996</v>
      </c>
      <c r="R9" s="24">
        <f>L6-$L$23</f>
        <v>-644.34999999999991</v>
      </c>
      <c r="T9" s="39" t="s">
        <v>35</v>
      </c>
      <c r="U9" s="25">
        <v>1541.65</v>
      </c>
      <c r="V9" s="26">
        <v>1368.65</v>
      </c>
      <c r="W9" s="26">
        <v>898.65000000000009</v>
      </c>
      <c r="X9" s="26">
        <v>-644.34999999999991</v>
      </c>
      <c r="Y9" s="26">
        <v>80.650000000000091</v>
      </c>
      <c r="Z9" s="26">
        <v>753.65000000000009</v>
      </c>
      <c r="AA9" s="26">
        <v>1507.65</v>
      </c>
      <c r="AB9" s="26">
        <v>1675.65</v>
      </c>
      <c r="AC9" s="26">
        <v>-1337.35</v>
      </c>
      <c r="AD9" s="26">
        <v>1016.6500000000001</v>
      </c>
      <c r="AE9" s="26">
        <v>-1199.3499999999999</v>
      </c>
      <c r="AF9" s="26">
        <v>-318.34999999999991</v>
      </c>
      <c r="AG9" s="26">
        <v>278.65000000000009</v>
      </c>
      <c r="AH9" s="26">
        <v>308.65000000000009</v>
      </c>
      <c r="AI9" s="26">
        <v>-722.34999999999991</v>
      </c>
      <c r="AJ9" s="26">
        <v>-171.34999999999991</v>
      </c>
      <c r="AK9" s="26">
        <v>-1554.35</v>
      </c>
      <c r="AL9" s="26">
        <v>-1597.35</v>
      </c>
      <c r="AM9" s="26">
        <v>-1240.3499999999999</v>
      </c>
      <c r="AN9" s="27">
        <v>-645.34999999999991</v>
      </c>
    </row>
    <row r="10" spans="1:40" x14ac:dyDescent="0.2">
      <c r="A10" s="14" t="s">
        <v>10</v>
      </c>
      <c r="B10" s="15">
        <v>5</v>
      </c>
      <c r="C10" s="15">
        <v>4</v>
      </c>
      <c r="D10" s="15">
        <v>21</v>
      </c>
      <c r="E10" s="15">
        <v>5</v>
      </c>
      <c r="F10" s="16">
        <v>1789</v>
      </c>
      <c r="H10" s="23">
        <v>4</v>
      </c>
      <c r="I10" s="15">
        <v>2</v>
      </c>
      <c r="J10" s="15">
        <v>32</v>
      </c>
      <c r="K10" s="15">
        <v>1</v>
      </c>
      <c r="L10" s="24">
        <v>3384</v>
      </c>
      <c r="N10" s="23">
        <f>H7-$H$23</f>
        <v>0.70000000000000018</v>
      </c>
      <c r="O10" s="15">
        <f>I7-$I$23</f>
        <v>1.25</v>
      </c>
      <c r="P10" s="15">
        <f>J7-$J$23</f>
        <v>-7.3999999999999986</v>
      </c>
      <c r="Q10" s="15">
        <f>K7-$K$23</f>
        <v>3.2</v>
      </c>
      <c r="R10" s="24">
        <f>L7-$L$23</f>
        <v>80.650000000000091</v>
      </c>
    </row>
    <row r="11" spans="1:40" ht="17" customHeight="1" x14ac:dyDescent="0.2">
      <c r="A11" s="14" t="s">
        <v>11</v>
      </c>
      <c r="B11" s="15">
        <v>1</v>
      </c>
      <c r="C11" s="15">
        <v>12</v>
      </c>
      <c r="D11" s="15">
        <v>29</v>
      </c>
      <c r="E11" s="15">
        <v>3</v>
      </c>
      <c r="F11" s="16">
        <v>2462</v>
      </c>
      <c r="H11" s="23">
        <v>3</v>
      </c>
      <c r="I11" s="15">
        <v>1</v>
      </c>
      <c r="J11" s="15">
        <v>13</v>
      </c>
      <c r="K11" s="15">
        <v>0</v>
      </c>
      <c r="L11" s="24">
        <v>371</v>
      </c>
      <c r="N11" s="23">
        <f>H8-$H$23</f>
        <v>-3.3</v>
      </c>
      <c r="O11" s="15">
        <f>I8-$I$23</f>
        <v>9.25</v>
      </c>
      <c r="P11" s="15">
        <f>J8-$J$23</f>
        <v>0.60000000000000142</v>
      </c>
      <c r="Q11" s="15">
        <f>K8-$K$23</f>
        <v>1.2</v>
      </c>
      <c r="R11" s="24">
        <f>L8-$L$23</f>
        <v>753.65000000000009</v>
      </c>
      <c r="T11" s="41" t="s">
        <v>41</v>
      </c>
      <c r="U11" s="41"/>
      <c r="V11" s="41"/>
      <c r="W11" s="41"/>
      <c r="X11" s="41"/>
      <c r="Z11" t="s">
        <v>42</v>
      </c>
    </row>
    <row r="12" spans="1:40" x14ac:dyDescent="0.2">
      <c r="A12" s="14" t="s">
        <v>12</v>
      </c>
      <c r="B12" s="15">
        <v>0</v>
      </c>
      <c r="C12" s="15">
        <v>11</v>
      </c>
      <c r="D12" s="15">
        <v>14</v>
      </c>
      <c r="E12" s="15">
        <v>4</v>
      </c>
      <c r="F12" s="16">
        <v>3216</v>
      </c>
      <c r="H12" s="23">
        <v>3</v>
      </c>
      <c r="I12" s="15">
        <v>0</v>
      </c>
      <c r="J12" s="15">
        <v>30</v>
      </c>
      <c r="K12" s="15">
        <v>3</v>
      </c>
      <c r="L12" s="24">
        <v>2725</v>
      </c>
      <c r="N12" s="23">
        <f>H9-$H$23</f>
        <v>-4.3</v>
      </c>
      <c r="O12" s="15">
        <f>I9-$I$23</f>
        <v>8.25</v>
      </c>
      <c r="P12" s="15">
        <f>J9-$J$23</f>
        <v>-14.399999999999999</v>
      </c>
      <c r="Q12" s="15">
        <f>K9-$K$23</f>
        <v>2.2000000000000002</v>
      </c>
      <c r="R12" s="24">
        <f>L9-$L$23</f>
        <v>1507.65</v>
      </c>
      <c r="T12" s="20" cm="1">
        <f t="array" ref="T12:X16">MMULT(_xlfn.ANCHORARRAY(U5),N6:R25)</f>
        <v>850.19999999999993</v>
      </c>
      <c r="U12" s="21">
        <v>103.50000000000001</v>
      </c>
      <c r="V12" s="21">
        <v>4045.6</v>
      </c>
      <c r="W12" s="21">
        <v>-22.8</v>
      </c>
      <c r="X12" s="22">
        <v>74499.900000000023</v>
      </c>
      <c r="Y12" s="42" t="s">
        <v>43</v>
      </c>
      <c r="Z12" s="52" cm="1">
        <f t="array" ref="Z12:AD16">_xlfn.ANCHORARRAY(T12)/20</f>
        <v>42.51</v>
      </c>
      <c r="AA12" s="53">
        <v>5.1750000000000007</v>
      </c>
      <c r="AB12" s="53">
        <v>202.28</v>
      </c>
      <c r="AC12" s="53">
        <v>-1.1400000000000001</v>
      </c>
      <c r="AD12" s="54">
        <v>3724.9950000000013</v>
      </c>
      <c r="AE12" s="42" t="s">
        <v>44</v>
      </c>
      <c r="AF12" s="52" cm="1">
        <f t="array" ref="AF12:AJ16">MINVERSE(_xlfn.ANCHORARRAY(Z12))</f>
        <v>0.36944626510924122</v>
      </c>
      <c r="AG12" s="53">
        <v>0.11092857074535344</v>
      </c>
      <c r="AH12" s="53">
        <v>-8.0246378326253198E-2</v>
      </c>
      <c r="AI12" s="53">
        <v>-0.12044850087937729</v>
      </c>
      <c r="AJ12" s="54">
        <v>2.1898285324703981E-4</v>
      </c>
    </row>
    <row r="13" spans="1:40" x14ac:dyDescent="0.2">
      <c r="A13" s="14" t="s">
        <v>13</v>
      </c>
      <c r="B13" s="15">
        <v>4</v>
      </c>
      <c r="C13" s="15">
        <v>2</v>
      </c>
      <c r="D13" s="15">
        <v>32</v>
      </c>
      <c r="E13" s="15">
        <v>1</v>
      </c>
      <c r="F13" s="16">
        <v>3384</v>
      </c>
      <c r="H13" s="23">
        <v>2</v>
      </c>
      <c r="I13" s="15">
        <v>1</v>
      </c>
      <c r="J13" s="15">
        <v>18</v>
      </c>
      <c r="K13" s="15">
        <v>1</v>
      </c>
      <c r="L13" s="24">
        <v>509</v>
      </c>
      <c r="N13" s="23">
        <f>H10-$H$23</f>
        <v>-0.29999999999999982</v>
      </c>
      <c r="O13" s="15">
        <f>I10-$I$23</f>
        <v>-0.75</v>
      </c>
      <c r="P13" s="15">
        <f>J10-$J$23</f>
        <v>3.6000000000000014</v>
      </c>
      <c r="Q13" s="15">
        <f>K10-$K$23</f>
        <v>-0.8</v>
      </c>
      <c r="R13" s="24">
        <f>L10-$L$23</f>
        <v>1675.65</v>
      </c>
      <c r="T13" s="23">
        <v>103.50000000000001</v>
      </c>
      <c r="U13" s="15">
        <v>259.75</v>
      </c>
      <c r="V13" s="15">
        <v>906.00000000000011</v>
      </c>
      <c r="W13" s="15">
        <v>35</v>
      </c>
      <c r="X13" s="24">
        <v>45060.750000000007</v>
      </c>
      <c r="Z13" s="55">
        <v>5.1750000000000007</v>
      </c>
      <c r="AA13" s="56">
        <v>12.987500000000001</v>
      </c>
      <c r="AB13" s="56">
        <v>45.300000000000004</v>
      </c>
      <c r="AC13" s="56">
        <v>1.75</v>
      </c>
      <c r="AD13" s="57">
        <v>2253.0375000000004</v>
      </c>
      <c r="AF13">
        <v>0.11092857074535353</v>
      </c>
      <c r="AG13" s="56">
        <v>0.1512774345539793</v>
      </c>
      <c r="AH13" s="56">
        <v>-2.5264023845883207E-2</v>
      </c>
      <c r="AI13" s="56">
        <v>-6.5428819466559748E-2</v>
      </c>
      <c r="AJ13" s="57">
        <v>-1.2419248263378764E-4</v>
      </c>
    </row>
    <row r="14" spans="1:40" x14ac:dyDescent="0.2">
      <c r="A14" s="14" t="s">
        <v>14</v>
      </c>
      <c r="B14" s="15">
        <v>3</v>
      </c>
      <c r="C14" s="15">
        <v>1</v>
      </c>
      <c r="D14" s="15">
        <v>13</v>
      </c>
      <c r="E14" s="15">
        <v>0</v>
      </c>
      <c r="F14" s="16">
        <v>371</v>
      </c>
      <c r="H14" s="23">
        <v>2</v>
      </c>
      <c r="I14" s="15">
        <v>1</v>
      </c>
      <c r="J14" s="15">
        <v>27</v>
      </c>
      <c r="K14" s="15">
        <v>0</v>
      </c>
      <c r="L14" s="24">
        <v>1390</v>
      </c>
      <c r="N14" s="23">
        <f>H11-$H$23</f>
        <v>-1.2999999999999998</v>
      </c>
      <c r="O14" s="15">
        <f>I11-$I$23</f>
        <v>-1.75</v>
      </c>
      <c r="P14" s="15">
        <f>J11-$J$23</f>
        <v>-15.399999999999999</v>
      </c>
      <c r="Q14" s="15">
        <f>K11-$K$23</f>
        <v>-1.8</v>
      </c>
      <c r="R14" s="24">
        <f>L11-$L$23</f>
        <v>-1337.35</v>
      </c>
      <c r="T14" s="23">
        <v>4045.6</v>
      </c>
      <c r="U14" s="15">
        <v>906.00000000000011</v>
      </c>
      <c r="V14" s="15">
        <v>21258.799999999992</v>
      </c>
      <c r="W14" s="15">
        <v>-105.40000000000002</v>
      </c>
      <c r="X14" s="24">
        <v>448041.20000000007</v>
      </c>
      <c r="Z14" s="55">
        <v>202.28</v>
      </c>
      <c r="AA14" s="56">
        <v>45.300000000000004</v>
      </c>
      <c r="AB14" s="56">
        <v>1062.9399999999996</v>
      </c>
      <c r="AC14" s="56">
        <v>-5.2700000000000014</v>
      </c>
      <c r="AD14" s="57">
        <v>22402.060000000005</v>
      </c>
      <c r="AF14" s="55">
        <v>-8.0246378326253198E-2</v>
      </c>
      <c r="AG14" s="56">
        <v>-2.526402384588318E-2</v>
      </c>
      <c r="AH14" s="56">
        <v>1.9476729424194268E-2</v>
      </c>
      <c r="AI14" s="56">
        <v>4.1674053510949396E-2</v>
      </c>
      <c r="AJ14" s="57">
        <v>-9.4021479457573781E-5</v>
      </c>
    </row>
    <row r="15" spans="1:40" x14ac:dyDescent="0.2">
      <c r="A15" s="14" t="s">
        <v>15</v>
      </c>
      <c r="B15" s="15">
        <v>3</v>
      </c>
      <c r="C15" s="15">
        <v>0</v>
      </c>
      <c r="D15" s="15">
        <v>30</v>
      </c>
      <c r="E15" s="15">
        <v>3</v>
      </c>
      <c r="F15" s="16">
        <v>2725</v>
      </c>
      <c r="H15" s="23">
        <v>1</v>
      </c>
      <c r="I15" s="15">
        <v>3</v>
      </c>
      <c r="J15" s="15">
        <v>16</v>
      </c>
      <c r="K15" s="15">
        <v>1</v>
      </c>
      <c r="L15" s="24">
        <v>1987</v>
      </c>
      <c r="N15" s="23">
        <f>H12-$H$23</f>
        <v>-1.2999999999999998</v>
      </c>
      <c r="O15" s="15">
        <f>I12-$I$23</f>
        <v>-2.75</v>
      </c>
      <c r="P15" s="15">
        <f>J12-$J$23</f>
        <v>1.6000000000000014</v>
      </c>
      <c r="Q15" s="15">
        <f>K12-$K$23</f>
        <v>1.2</v>
      </c>
      <c r="R15" s="24">
        <f>L12-$L$23</f>
        <v>1016.6500000000001</v>
      </c>
      <c r="T15" s="23">
        <v>-22.8</v>
      </c>
      <c r="U15" s="15">
        <v>35</v>
      </c>
      <c r="V15" s="15">
        <v>-105.40000000000002</v>
      </c>
      <c r="W15" s="15">
        <v>57.20000000000001</v>
      </c>
      <c r="X15" s="24">
        <v>13574.400000000001</v>
      </c>
      <c r="Z15" s="55">
        <v>-1.1400000000000001</v>
      </c>
      <c r="AA15" s="56">
        <v>1.75</v>
      </c>
      <c r="AB15" s="56">
        <v>-5.2700000000000014</v>
      </c>
      <c r="AC15" s="56">
        <v>2.8600000000000003</v>
      </c>
      <c r="AD15" s="57">
        <v>678.72</v>
      </c>
      <c r="AF15" s="55">
        <v>-0.12044850087937733</v>
      </c>
      <c r="AG15" s="56">
        <v>-6.5428819466559665E-2</v>
      </c>
      <c r="AH15" s="56">
        <v>4.1674053510949403E-2</v>
      </c>
      <c r="AI15" s="56">
        <v>0.56659169662720144</v>
      </c>
      <c r="AJ15" s="57">
        <v>-6.2417616585204992E-4</v>
      </c>
    </row>
    <row r="16" spans="1:40" x14ac:dyDescent="0.2">
      <c r="A16" s="14" t="s">
        <v>16</v>
      </c>
      <c r="B16" s="15">
        <v>2</v>
      </c>
      <c r="C16" s="15">
        <v>1</v>
      </c>
      <c r="D16" s="15">
        <v>18</v>
      </c>
      <c r="E16" s="15">
        <v>1</v>
      </c>
      <c r="F16" s="16">
        <v>509</v>
      </c>
      <c r="H16" s="23">
        <v>1</v>
      </c>
      <c r="I16" s="15">
        <v>2</v>
      </c>
      <c r="J16" s="15">
        <v>17</v>
      </c>
      <c r="K16" s="15">
        <v>6</v>
      </c>
      <c r="L16" s="24">
        <v>2017</v>
      </c>
      <c r="N16" s="23">
        <f>H13-$H$23</f>
        <v>-2.2999999999999998</v>
      </c>
      <c r="O16" s="15">
        <f>I13-$I$23</f>
        <v>-1.75</v>
      </c>
      <c r="P16" s="15">
        <f>J13-$J$23</f>
        <v>-10.399999999999999</v>
      </c>
      <c r="Q16" s="15">
        <f>K13-$K$23</f>
        <v>-0.8</v>
      </c>
      <c r="R16" s="24">
        <f>L13-$L$23</f>
        <v>-1199.3499999999999</v>
      </c>
      <c r="T16" s="25">
        <v>74499.900000000023</v>
      </c>
      <c r="U16" s="26">
        <v>45060.750000000007</v>
      </c>
      <c r="V16" s="26">
        <v>448041.20000000007</v>
      </c>
      <c r="W16" s="26">
        <v>13574.400000000001</v>
      </c>
      <c r="X16" s="27">
        <v>23136356.549999997</v>
      </c>
      <c r="Z16" s="58">
        <v>3724.9950000000013</v>
      </c>
      <c r="AA16" s="59">
        <v>2253.0375000000004</v>
      </c>
      <c r="AB16" s="59">
        <v>22402.060000000005</v>
      </c>
      <c r="AC16" s="59">
        <v>678.72</v>
      </c>
      <c r="AD16" s="60">
        <v>1156817.8274999999</v>
      </c>
      <c r="AF16" s="58">
        <v>2.1898285324704E-4</v>
      </c>
      <c r="AG16" s="59">
        <v>-1.2419248263378788E-4</v>
      </c>
      <c r="AH16" s="59">
        <v>-9.4021479457573822E-5</v>
      </c>
      <c r="AI16" s="59">
        <v>-6.2417616585204992E-4</v>
      </c>
      <c r="AJ16" s="60">
        <v>2.5881481832069228E-6</v>
      </c>
    </row>
    <row r="17" spans="1:32" x14ac:dyDescent="0.2">
      <c r="A17" s="14" t="s">
        <v>17</v>
      </c>
      <c r="B17" s="15">
        <v>2</v>
      </c>
      <c r="C17" s="15">
        <v>1</v>
      </c>
      <c r="D17" s="15">
        <v>27</v>
      </c>
      <c r="E17" s="15">
        <v>0</v>
      </c>
      <c r="F17" s="16">
        <v>1390</v>
      </c>
      <c r="H17" s="23">
        <v>1</v>
      </c>
      <c r="I17" s="15">
        <v>0</v>
      </c>
      <c r="J17" s="15">
        <v>6</v>
      </c>
      <c r="K17" s="15">
        <v>1</v>
      </c>
      <c r="L17" s="24">
        <v>986</v>
      </c>
      <c r="N17" s="23">
        <f>H14-$H$23</f>
        <v>-2.2999999999999998</v>
      </c>
      <c r="O17" s="15">
        <f>I14-$I$23</f>
        <v>-1.75</v>
      </c>
      <c r="P17" s="15">
        <f>J14-$J$23</f>
        <v>-1.3999999999999986</v>
      </c>
      <c r="Q17" s="15">
        <f>K14-$K$23</f>
        <v>-1.8</v>
      </c>
      <c r="R17" s="24">
        <f>L14-$L$23</f>
        <v>-318.34999999999991</v>
      </c>
    </row>
    <row r="18" spans="1:32" x14ac:dyDescent="0.2">
      <c r="A18" s="14" t="s">
        <v>18</v>
      </c>
      <c r="B18" s="15">
        <v>1</v>
      </c>
      <c r="C18" s="15">
        <v>3</v>
      </c>
      <c r="D18" s="15">
        <v>16</v>
      </c>
      <c r="E18" s="15">
        <v>1</v>
      </c>
      <c r="F18" s="16">
        <v>1987</v>
      </c>
      <c r="H18" s="23">
        <v>1</v>
      </c>
      <c r="I18" s="15">
        <v>0</v>
      </c>
      <c r="J18" s="15">
        <v>8</v>
      </c>
      <c r="K18" s="15">
        <v>3</v>
      </c>
      <c r="L18" s="24">
        <v>1537</v>
      </c>
      <c r="N18" s="23">
        <f>H15-$H$23</f>
        <v>-3.3</v>
      </c>
      <c r="O18" s="15">
        <f>I15-$I$23</f>
        <v>0.25</v>
      </c>
      <c r="P18" s="15">
        <f>J15-$J$23</f>
        <v>-12.399999999999999</v>
      </c>
      <c r="Q18" s="15">
        <f>K15-$K$23</f>
        <v>-0.8</v>
      </c>
      <c r="R18" s="24">
        <f>L15-$L$23</f>
        <v>278.65000000000009</v>
      </c>
    </row>
    <row r="19" spans="1:32" ht="16" customHeight="1" x14ac:dyDescent="0.2">
      <c r="A19" s="14" t="s">
        <v>19</v>
      </c>
      <c r="B19" s="15">
        <v>1</v>
      </c>
      <c r="C19" s="15">
        <v>2</v>
      </c>
      <c r="D19" s="15">
        <v>17</v>
      </c>
      <c r="E19" s="15">
        <v>6</v>
      </c>
      <c r="F19" s="16">
        <v>2017</v>
      </c>
      <c r="H19" s="23">
        <v>0</v>
      </c>
      <c r="I19" s="15">
        <v>0</v>
      </c>
      <c r="J19" s="15">
        <v>1</v>
      </c>
      <c r="K19" s="15">
        <v>0</v>
      </c>
      <c r="L19" s="24">
        <v>154</v>
      </c>
      <c r="N19" s="23">
        <f>H16-$H$23</f>
        <v>-3.3</v>
      </c>
      <c r="O19" s="15">
        <f>I16-$I$23</f>
        <v>-0.75</v>
      </c>
      <c r="P19" s="15">
        <f>J16-$J$23</f>
        <v>-11.399999999999999</v>
      </c>
      <c r="Q19" s="15">
        <f>K16-$K$23</f>
        <v>4.2</v>
      </c>
      <c r="R19" s="24">
        <f>L16-$L$23</f>
        <v>308.65000000000009</v>
      </c>
      <c r="T19" s="73" t="s">
        <v>66</v>
      </c>
      <c r="U19" s="74"/>
      <c r="V19" s="71" t="s">
        <v>67</v>
      </c>
      <c r="W19" s="80" t="s">
        <v>68</v>
      </c>
      <c r="X19" s="86" t="s">
        <v>69</v>
      </c>
      <c r="Y19" s="88" t="s">
        <v>70</v>
      </c>
    </row>
    <row r="20" spans="1:32" x14ac:dyDescent="0.2">
      <c r="A20" s="14" t="s">
        <v>20</v>
      </c>
      <c r="B20" s="15">
        <v>1</v>
      </c>
      <c r="C20" s="15">
        <v>0</v>
      </c>
      <c r="D20" s="15">
        <v>6</v>
      </c>
      <c r="E20" s="15">
        <v>1</v>
      </c>
      <c r="F20" s="16">
        <v>986</v>
      </c>
      <c r="H20" s="23">
        <v>0</v>
      </c>
      <c r="I20" s="15">
        <v>0</v>
      </c>
      <c r="J20" s="15">
        <v>3</v>
      </c>
      <c r="K20" s="15">
        <v>0</v>
      </c>
      <c r="L20" s="24">
        <v>111</v>
      </c>
      <c r="N20" s="23">
        <f>H17-$H$23</f>
        <v>-3.3</v>
      </c>
      <c r="O20" s="15">
        <f>I17-$I$23</f>
        <v>-2.75</v>
      </c>
      <c r="P20" s="15">
        <f>J17-$J$23</f>
        <v>-22.4</v>
      </c>
      <c r="Q20" s="15">
        <f>K17-$K$23</f>
        <v>-0.8</v>
      </c>
      <c r="R20" s="24">
        <f>L17-$L$23</f>
        <v>-722.34999999999991</v>
      </c>
      <c r="T20" s="75"/>
      <c r="U20" s="76"/>
      <c r="V20" s="72"/>
      <c r="W20" s="81"/>
      <c r="X20" s="87"/>
      <c r="Y20" s="89"/>
    </row>
    <row r="21" spans="1:32" x14ac:dyDescent="0.2">
      <c r="A21" s="14" t="s">
        <v>21</v>
      </c>
      <c r="B21" s="15">
        <v>1</v>
      </c>
      <c r="C21" s="15">
        <v>0</v>
      </c>
      <c r="D21" s="15">
        <v>8</v>
      </c>
      <c r="E21" s="15">
        <v>3</v>
      </c>
      <c r="F21" s="16">
        <v>1537</v>
      </c>
      <c r="H21" s="23">
        <v>0</v>
      </c>
      <c r="I21" s="15">
        <v>0</v>
      </c>
      <c r="J21" s="15">
        <v>5</v>
      </c>
      <c r="K21" s="15">
        <v>1</v>
      </c>
      <c r="L21" s="24">
        <v>468</v>
      </c>
      <c r="N21" s="23">
        <f>H18-$H$23</f>
        <v>-3.3</v>
      </c>
      <c r="O21" s="15">
        <f>I18-$I$23</f>
        <v>-2.75</v>
      </c>
      <c r="P21" s="15">
        <f>J18-$J$23</f>
        <v>-20.399999999999999</v>
      </c>
      <c r="Q21" s="15">
        <f>K18-$K$23</f>
        <v>1.2</v>
      </c>
      <c r="R21" s="24">
        <f>L18-$L$23</f>
        <v>-171.34999999999991</v>
      </c>
      <c r="T21" s="77" t="s">
        <v>46</v>
      </c>
      <c r="U21" s="45" cm="1">
        <f t="array" ref="U21">MMULT(MMULT(N6:R6,_xlfn.ANCHORARRAY(AF12)),TRANSPOSE(N6:R6))</f>
        <v>14.028887594858372</v>
      </c>
      <c r="V21" s="90" cm="1">
        <f t="array" ref="V21:V40">_xlfn._xlws.SORT(U21:U40,TRUE,)</f>
        <v>0.94861303017366083</v>
      </c>
      <c r="W21" s="82">
        <f>(1-0.5)/20</f>
        <v>2.5000000000000001E-2</v>
      </c>
      <c r="X21" s="93">
        <f>_xlfn.CHISQ.INV(W21,5)</f>
        <v>0.83121161348666261</v>
      </c>
      <c r="Y21" s="96" t="str">
        <f>IF(V21 &gt; 4.35, "Greater than", "Less than")</f>
        <v>Less than</v>
      </c>
      <c r="AA21" t="s">
        <v>71</v>
      </c>
    </row>
    <row r="22" spans="1:32" x14ac:dyDescent="0.2">
      <c r="A22" s="14" t="s">
        <v>22</v>
      </c>
      <c r="B22" s="15">
        <v>0</v>
      </c>
      <c r="C22" s="15">
        <v>0</v>
      </c>
      <c r="D22" s="15">
        <v>1</v>
      </c>
      <c r="E22" s="15">
        <v>0</v>
      </c>
      <c r="F22" s="16">
        <v>154</v>
      </c>
      <c r="H22" s="25">
        <v>0</v>
      </c>
      <c r="I22" s="26">
        <v>0</v>
      </c>
      <c r="J22" s="26">
        <v>5</v>
      </c>
      <c r="K22" s="26">
        <v>2</v>
      </c>
      <c r="L22" s="27">
        <v>1063</v>
      </c>
      <c r="N22" s="23">
        <f>H19-$H$23</f>
        <v>-4.3</v>
      </c>
      <c r="O22" s="15">
        <f>I19-$I$23</f>
        <v>-2.75</v>
      </c>
      <c r="P22" s="15">
        <f>J19-$J$23</f>
        <v>-27.4</v>
      </c>
      <c r="Q22" s="15">
        <f>K19-$K$23</f>
        <v>-1.8</v>
      </c>
      <c r="R22" s="24">
        <f>L19-$L$23</f>
        <v>-1554.35</v>
      </c>
      <c r="T22" s="78" t="s">
        <v>47</v>
      </c>
      <c r="U22" s="48" cm="1">
        <f t="array" ref="U22">MMULT(MMULT(N7:R7,_xlfn.ANCHORARRAY(AF12)),TRANSPOSE(N7:R7))</f>
        <v>13.799111859915984</v>
      </c>
      <c r="V22" s="91">
        <v>1.0465231646825439</v>
      </c>
      <c r="W22" s="83">
        <f>(2-0.5)/20</f>
        <v>7.4999999999999997E-2</v>
      </c>
      <c r="X22" s="94">
        <f t="shared" ref="X22:X40" si="0">_xlfn.CHISQ.INV(W22,5)</f>
        <v>1.3937108512764904</v>
      </c>
      <c r="Y22" s="97" t="str">
        <f t="shared" ref="Y22:Y40" si="1">IF(V22 &gt; 4.35, "Greater than", "Less than")</f>
        <v>Less than</v>
      </c>
      <c r="AA22" t="s">
        <v>72</v>
      </c>
    </row>
    <row r="23" spans="1:32" x14ac:dyDescent="0.2">
      <c r="A23" s="14" t="s">
        <v>23</v>
      </c>
      <c r="B23" s="15">
        <v>0</v>
      </c>
      <c r="C23" s="15">
        <v>0</v>
      </c>
      <c r="D23" s="15">
        <v>3</v>
      </c>
      <c r="E23" s="15">
        <v>0</v>
      </c>
      <c r="F23" s="16">
        <v>111</v>
      </c>
      <c r="G23" t="s">
        <v>36</v>
      </c>
      <c r="H23">
        <f>AVERAGE(H3:H22)</f>
        <v>4.3</v>
      </c>
      <c r="I23">
        <f t="shared" ref="I23:L23" si="2">AVERAGE(I3:I22)</f>
        <v>2.75</v>
      </c>
      <c r="J23">
        <f t="shared" si="2"/>
        <v>28.4</v>
      </c>
      <c r="K23">
        <f t="shared" si="2"/>
        <v>1.8</v>
      </c>
      <c r="L23">
        <f t="shared" si="2"/>
        <v>1708.35</v>
      </c>
      <c r="N23" s="23">
        <f>H20-$H$23</f>
        <v>-4.3</v>
      </c>
      <c r="O23" s="15">
        <f>I20-$I$23</f>
        <v>-2.75</v>
      </c>
      <c r="P23" s="15">
        <f>J20-$J$23</f>
        <v>-25.4</v>
      </c>
      <c r="Q23" s="15">
        <f>K20-$K$23</f>
        <v>-1.8</v>
      </c>
      <c r="R23" s="24">
        <f>L20-$L$23</f>
        <v>-1597.35</v>
      </c>
      <c r="T23" s="78" t="s">
        <v>48</v>
      </c>
      <c r="U23" s="48" cm="1">
        <f t="array" ref="U23">MMULT(MMULT(N8:R8,_xlfn.ANCHORARRAY(AF12)),TRANSPOSE(N8:R8))</f>
        <v>3.4829047032241878</v>
      </c>
      <c r="V23" s="91">
        <v>1.44323175664634</v>
      </c>
      <c r="W23" s="83">
        <f>(3-0.5)/20</f>
        <v>0.125</v>
      </c>
      <c r="X23" s="94">
        <f t="shared" si="0"/>
        <v>1.8081716938818009</v>
      </c>
      <c r="Y23" s="97" t="str">
        <f t="shared" si="1"/>
        <v>Less than</v>
      </c>
      <c r="AA23">
        <f>_xlfn.CHISQ.INV(0.5,5)</f>
        <v>4.3514601910955237</v>
      </c>
    </row>
    <row r="24" spans="1:32" x14ac:dyDescent="0.2">
      <c r="A24" s="14" t="s">
        <v>24</v>
      </c>
      <c r="B24" s="15">
        <v>0</v>
      </c>
      <c r="C24" s="15">
        <v>0</v>
      </c>
      <c r="D24" s="15">
        <v>5</v>
      </c>
      <c r="E24" s="15">
        <v>1</v>
      </c>
      <c r="F24" s="16">
        <v>468</v>
      </c>
      <c r="G24" t="s">
        <v>37</v>
      </c>
      <c r="H24" s="32">
        <f>_xlfn.VAR.S(H3:H22)</f>
        <v>44.747368421052634</v>
      </c>
      <c r="I24" s="32">
        <f t="shared" ref="I24:L24" si="3">_xlfn.VAR.S(I3:I22)</f>
        <v>13.671052631578947</v>
      </c>
      <c r="J24" s="32">
        <f t="shared" si="3"/>
        <v>1118.8842105263157</v>
      </c>
      <c r="K24" s="32">
        <f t="shared" si="3"/>
        <v>3.0105263157894737</v>
      </c>
      <c r="L24" s="32">
        <f t="shared" si="3"/>
        <v>1217702.9763157894</v>
      </c>
      <c r="N24" s="23">
        <f>H21-$H$23</f>
        <v>-4.3</v>
      </c>
      <c r="O24" s="15">
        <f>I21-$I$23</f>
        <v>-2.75</v>
      </c>
      <c r="P24" s="15">
        <f>J21-$J$23</f>
        <v>-23.4</v>
      </c>
      <c r="Q24" s="15">
        <f>K21-$K$23</f>
        <v>-0.8</v>
      </c>
      <c r="R24" s="24">
        <f>L21-$L$23</f>
        <v>-1240.3499999999999</v>
      </c>
      <c r="T24" s="78" t="s">
        <v>49</v>
      </c>
      <c r="U24" s="48" cm="1">
        <f t="array" ref="U24">MMULT(MMULT(N9:R9,_xlfn.ANCHORARRAY(AF12)),TRANSPOSE(N9:R9))</f>
        <v>2.3678753409385429</v>
      </c>
      <c r="V24" s="91">
        <v>1.614384046760224</v>
      </c>
      <c r="W24" s="83">
        <f>(4-0.5)/20</f>
        <v>0.17499999999999999</v>
      </c>
      <c r="X24" s="94">
        <f t="shared" si="0"/>
        <v>2.1710948929047538</v>
      </c>
      <c r="Y24" s="97" t="str">
        <f t="shared" si="1"/>
        <v>Less than</v>
      </c>
    </row>
    <row r="25" spans="1:32" ht="17" thickBot="1" x14ac:dyDescent="0.25">
      <c r="A25" s="17" t="s">
        <v>25</v>
      </c>
      <c r="B25" s="18">
        <v>0</v>
      </c>
      <c r="C25" s="18">
        <v>0</v>
      </c>
      <c r="D25" s="18">
        <v>5</v>
      </c>
      <c r="E25" s="18">
        <v>2</v>
      </c>
      <c r="F25" s="19">
        <v>1063</v>
      </c>
      <c r="G25" t="s">
        <v>38</v>
      </c>
      <c r="H25" s="32">
        <f>SQRT(H24)</f>
        <v>6.6893473837925796</v>
      </c>
      <c r="I25" s="32">
        <f t="shared" ref="I25:L25" si="4">SQRT(I24)</f>
        <v>3.6974386582577603</v>
      </c>
      <c r="J25" s="32">
        <f t="shared" si="4"/>
        <v>33.449726613625941</v>
      </c>
      <c r="K25" s="32">
        <f t="shared" si="4"/>
        <v>1.7350868323485928</v>
      </c>
      <c r="L25" s="32">
        <f t="shared" si="4"/>
        <v>1103.4957980508079</v>
      </c>
      <c r="N25" s="25">
        <f>H22-$H$23</f>
        <v>-4.3</v>
      </c>
      <c r="O25" s="26">
        <f>I22-$I$23</f>
        <v>-2.75</v>
      </c>
      <c r="P25" s="26">
        <f>J22-$J$23</f>
        <v>-23.4</v>
      </c>
      <c r="Q25" s="26">
        <f>K22-$K$23</f>
        <v>0.19999999999999996</v>
      </c>
      <c r="R25" s="27">
        <f>L22-$L$23</f>
        <v>-645.34999999999991</v>
      </c>
      <c r="T25" s="78" t="s">
        <v>50</v>
      </c>
      <c r="U25" s="48" cm="1">
        <f t="array" ref="U25">MMULT(MMULT(N10:R10,_xlfn.ANCHORARRAY(AF12)),TRANSPOSE(N10:R10))</f>
        <v>5.5485538460573078</v>
      </c>
      <c r="V25" s="91">
        <v>1.7222897547201708</v>
      </c>
      <c r="W25" s="83">
        <f>(5-0.5)/20</f>
        <v>0.22500000000000001</v>
      </c>
      <c r="X25" s="94">
        <f t="shared" si="0"/>
        <v>2.5099224143476668</v>
      </c>
      <c r="Y25" s="97" t="str">
        <f t="shared" si="1"/>
        <v>Less than</v>
      </c>
    </row>
    <row r="26" spans="1:32" x14ac:dyDescent="0.2">
      <c r="T26" s="78" t="s">
        <v>51</v>
      </c>
      <c r="U26" s="48" cm="1">
        <f t="array" ref="U26">MMULT(MMULT(N11:R11,_xlfn.ANCHORARRAY(AF12)),TRANSPOSE(N11:R11))</f>
        <v>8.0516724113235174</v>
      </c>
      <c r="V26" s="91">
        <v>1.9546901022645082</v>
      </c>
      <c r="W26" s="83">
        <f>(6-0.5)/20</f>
        <v>0.27500000000000002</v>
      </c>
      <c r="X26" s="94">
        <f t="shared" si="0"/>
        <v>2.8376382077101141</v>
      </c>
      <c r="Y26" s="97" t="str">
        <f t="shared" si="1"/>
        <v>Less than</v>
      </c>
    </row>
    <row r="27" spans="1:32" x14ac:dyDescent="0.2">
      <c r="T27" s="78" t="s">
        <v>52</v>
      </c>
      <c r="U27" s="48" cm="1">
        <f t="array" ref="U27">MMULT(MMULT(N12:R12,_xlfn.ANCHORARRAY(AF12)),TRANSPOSE(N12:R12))</f>
        <v>9.262397503669197</v>
      </c>
      <c r="V27" s="91">
        <v>2.3678753409385429</v>
      </c>
      <c r="W27" s="83">
        <f>(7-0.5)/20</f>
        <v>0.32500000000000001</v>
      </c>
      <c r="X27" s="94">
        <f t="shared" si="0"/>
        <v>3.1621712220145755</v>
      </c>
      <c r="Y27" s="97" t="str">
        <f t="shared" si="1"/>
        <v>Less than</v>
      </c>
    </row>
    <row r="28" spans="1:32" x14ac:dyDescent="0.2">
      <c r="T28" s="78" t="s">
        <v>53</v>
      </c>
      <c r="U28" s="48" cm="1">
        <f t="array" ref="U28">MMULT(MMULT(N13:R13,_xlfn.ANCHORARRAY(AF12)),TRANSPOSE(N13:R13))</f>
        <v>8.6147879378054153</v>
      </c>
      <c r="V28" s="91">
        <v>2.5420568990151047</v>
      </c>
      <c r="W28" s="83">
        <f>(8-0.5)/20</f>
        <v>0.375</v>
      </c>
      <c r="X28" s="94">
        <f t="shared" si="0"/>
        <v>3.4893481372510489</v>
      </c>
      <c r="Y28" s="97" t="str">
        <f t="shared" si="1"/>
        <v>Less than</v>
      </c>
    </row>
    <row r="29" spans="1:32" x14ac:dyDescent="0.2">
      <c r="T29" s="78" t="s">
        <v>54</v>
      </c>
      <c r="U29" s="48" cm="1">
        <f t="array" ref="U29">MMULT(MMULT(N14:R14,_xlfn.ANCHORARRAY(AF12)),TRANSPOSE(N14:R14))</f>
        <v>2.7381286667274152</v>
      </c>
      <c r="V29" s="91">
        <v>2.555782383758654</v>
      </c>
      <c r="W29" s="83">
        <f>(9-0.5)/20</f>
        <v>0.42499999999999999</v>
      </c>
      <c r="X29" s="94">
        <f t="shared" si="0"/>
        <v>3.8241616756540524</v>
      </c>
      <c r="Y29" s="97" t="str">
        <f t="shared" si="1"/>
        <v>Less than</v>
      </c>
      <c r="AB29" s="101" t="s">
        <v>75</v>
      </c>
      <c r="AC29" s="101" t="s">
        <v>74</v>
      </c>
    </row>
    <row r="30" spans="1:32" x14ac:dyDescent="0.2">
      <c r="T30" s="78" t="s">
        <v>55</v>
      </c>
      <c r="U30" s="48" cm="1">
        <f t="array" ref="U30">MMULT(MMULT(N15:R15,_xlfn.ANCHORARRAY(AF12)),TRANSPOSE(N15:R15))</f>
        <v>5.9129021077524371</v>
      </c>
      <c r="V30" s="91">
        <v>2.7381286667274152</v>
      </c>
      <c r="W30" s="83">
        <f>(10-0.5)/20</f>
        <v>0.47499999999999998</v>
      </c>
      <c r="X30" s="94">
        <f t="shared" si="0"/>
        <v>4.1714843433354698</v>
      </c>
      <c r="Y30" s="97" t="str">
        <f t="shared" si="1"/>
        <v>Less than</v>
      </c>
      <c r="AA30" t="s">
        <v>73</v>
      </c>
      <c r="AB30" s="100">
        <f>(8/20)*100</f>
        <v>40</v>
      </c>
      <c r="AC30" s="100">
        <v>50</v>
      </c>
    </row>
    <row r="31" spans="1:32" x14ac:dyDescent="0.2">
      <c r="T31" s="78" t="s">
        <v>56</v>
      </c>
      <c r="U31" s="48" cm="1">
        <f t="array" ref="U31">MMULT(MMULT(N16:R16,_xlfn.ANCHORARRAY(AF12)),TRANSPOSE(N16:R16))</f>
        <v>1.9546901022645082</v>
      </c>
      <c r="V31" s="91">
        <v>2.9899564973797377</v>
      </c>
      <c r="W31" s="83">
        <f>(11-0.5)/20</f>
        <v>0.52500000000000002</v>
      </c>
      <c r="X31" s="94">
        <f t="shared" si="0"/>
        <v>4.5366110480737039</v>
      </c>
      <c r="Y31" s="97" t="str">
        <f t="shared" si="1"/>
        <v>Less than</v>
      </c>
      <c r="AB31" s="61" t="s">
        <v>76</v>
      </c>
      <c r="AC31" s="61"/>
      <c r="AD31" s="61"/>
      <c r="AE31" s="61"/>
      <c r="AF31" s="61"/>
    </row>
    <row r="32" spans="1:32" x14ac:dyDescent="0.2">
      <c r="T32" s="78" t="s">
        <v>57</v>
      </c>
      <c r="U32" s="48" cm="1">
        <f t="array" ref="U32">MMULT(MMULT(N17:R17,_xlfn.ANCHORARRAY(AF12)),TRANSPOSE(N17:R17))</f>
        <v>2.9899564973797377</v>
      </c>
      <c r="V32" s="91">
        <v>3.4829047032241878</v>
      </c>
      <c r="W32" s="83">
        <f>(12-0.5)/20</f>
        <v>0.57499999999999996</v>
      </c>
      <c r="X32" s="94">
        <f t="shared" si="0"/>
        <v>4.9258216824177952</v>
      </c>
      <c r="Y32" s="97" t="str">
        <f t="shared" si="1"/>
        <v>Less than</v>
      </c>
    </row>
    <row r="33" spans="20:25" x14ac:dyDescent="0.2">
      <c r="T33" s="78" t="s">
        <v>58</v>
      </c>
      <c r="U33" s="48" cm="1">
        <f t="array" ref="U33">MMULT(MMULT(N18:R18,_xlfn.ANCHORARRAY(AF12)),TRANSPOSE(N18:R18))</f>
        <v>1.7222897547201708</v>
      </c>
      <c r="V33" s="91">
        <v>5.5485538460573078</v>
      </c>
      <c r="W33" s="83">
        <f>(13-0.5)/20</f>
        <v>0.625</v>
      </c>
      <c r="X33" s="94">
        <f t="shared" si="0"/>
        <v>5.3471287624054327</v>
      </c>
      <c r="Y33" s="98" t="str">
        <f t="shared" si="1"/>
        <v>Greater than</v>
      </c>
    </row>
    <row r="34" spans="20:25" x14ac:dyDescent="0.2">
      <c r="T34" s="78" t="s">
        <v>59</v>
      </c>
      <c r="U34" s="48" cm="1">
        <f t="array" ref="U34">MMULT(MMULT(N19:R19,_xlfn.ANCHORARRAY(AF12)),TRANSPOSE(N19:R19))</f>
        <v>9.3752503923268495</v>
      </c>
      <c r="V34" s="91">
        <v>5.9129021077524371</v>
      </c>
      <c r="W34" s="83">
        <f>(14-0.5)/20</f>
        <v>0.67500000000000004</v>
      </c>
      <c r="X34" s="94">
        <f t="shared" si="0"/>
        <v>5.8114516748697396</v>
      </c>
      <c r="Y34" s="98" t="str">
        <f t="shared" si="1"/>
        <v>Greater than</v>
      </c>
    </row>
    <row r="35" spans="20:25" x14ac:dyDescent="0.2">
      <c r="T35" s="78" t="s">
        <v>60</v>
      </c>
      <c r="U35" s="48" cm="1">
        <f t="array" ref="U35">MMULT(MMULT(N20:R20,_xlfn.ANCHORARRAY(AF12)),TRANSPOSE(N20:R20))</f>
        <v>1.0465231646825439</v>
      </c>
      <c r="V35" s="91">
        <v>8.0516724113235174</v>
      </c>
      <c r="W35" s="83">
        <f>(15-0.5)/20</f>
        <v>0.72499999999999998</v>
      </c>
      <c r="X35" s="94">
        <f t="shared" si="0"/>
        <v>6.3346958351447835</v>
      </c>
      <c r="Y35" s="98" t="str">
        <f t="shared" si="1"/>
        <v>Greater than</v>
      </c>
    </row>
    <row r="36" spans="20:25" x14ac:dyDescent="0.2">
      <c r="T36" s="78" t="s">
        <v>61</v>
      </c>
      <c r="U36" s="48" cm="1">
        <f t="array" ref="U36">MMULT(MMULT(N21:R21,_xlfn.ANCHORARRAY(AF12)),TRANSPOSE(N21:R21))</f>
        <v>1.614384046760224</v>
      </c>
      <c r="V36" s="91">
        <v>8.6147879378054153</v>
      </c>
      <c r="W36" s="83">
        <f>(16-0.5)/20</f>
        <v>0.77500000000000002</v>
      </c>
      <c r="X36" s="94">
        <f t="shared" si="0"/>
        <v>6.9418638454119552</v>
      </c>
      <c r="Y36" s="98" t="str">
        <f t="shared" si="1"/>
        <v>Greater than</v>
      </c>
    </row>
    <row r="37" spans="20:25" x14ac:dyDescent="0.2">
      <c r="T37" s="78" t="s">
        <v>62</v>
      </c>
      <c r="U37" s="48" cm="1">
        <f t="array" ref="U37">MMULT(MMULT(N22:R22,_xlfn.ANCHORARRAY(AF12)),TRANSPOSE(N22:R22))</f>
        <v>2.555782383758654</v>
      </c>
      <c r="V37" s="91">
        <v>9.262397503669197</v>
      </c>
      <c r="W37" s="83">
        <f>(17-0.5)/20</f>
        <v>0.82499999999999996</v>
      </c>
      <c r="X37" s="94">
        <f t="shared" si="0"/>
        <v>7.6763137872746618</v>
      </c>
      <c r="Y37" s="98" t="str">
        <f t="shared" si="1"/>
        <v>Greater than</v>
      </c>
    </row>
    <row r="38" spans="20:25" x14ac:dyDescent="0.2">
      <c r="T38" s="78" t="s">
        <v>63</v>
      </c>
      <c r="U38" s="48" cm="1">
        <f t="array" ref="U38">MMULT(MMULT(N23:R23,_xlfn.ANCHORARRAY(AF12)),TRANSPOSE(N23:R23))</f>
        <v>2.5420568990151047</v>
      </c>
      <c r="V38" s="91">
        <v>9.3752503923268495</v>
      </c>
      <c r="W38" s="83">
        <f>(18-0.5)/20</f>
        <v>0.875</v>
      </c>
      <c r="X38" s="94">
        <f t="shared" si="0"/>
        <v>8.6247653224371863</v>
      </c>
      <c r="Y38" s="98" t="str">
        <f t="shared" si="1"/>
        <v>Greater than</v>
      </c>
    </row>
    <row r="39" spans="20:25" x14ac:dyDescent="0.2">
      <c r="T39" s="78" t="s">
        <v>64</v>
      </c>
      <c r="U39" s="48" cm="1">
        <f t="array" ref="U39">MMULT(MMULT(N24:R24,_xlfn.ANCHORARRAY(AF12)),TRANSPOSE(N24:R24))</f>
        <v>1.44323175664634</v>
      </c>
      <c r="V39" s="91">
        <v>13.799111859915984</v>
      </c>
      <c r="W39" s="83">
        <f>(19-0.5)/20</f>
        <v>0.92500000000000004</v>
      </c>
      <c r="X39" s="94">
        <f t="shared" si="0"/>
        <v>10.008314534805853</v>
      </c>
      <c r="Y39" s="98" t="str">
        <f t="shared" si="1"/>
        <v>Greater than</v>
      </c>
    </row>
    <row r="40" spans="20:25" x14ac:dyDescent="0.2">
      <c r="T40" s="79" t="s">
        <v>65</v>
      </c>
      <c r="U40" s="51" cm="1">
        <f t="array" ref="U40">MMULT(MMULT(N25:R25,_xlfn.ANCHORARRAY(AF12)),TRANSPOSE(N25:R25))</f>
        <v>0.94861303017366083</v>
      </c>
      <c r="V40" s="92">
        <v>14.028887594858372</v>
      </c>
      <c r="W40" s="84">
        <f>(20-0.5)/20</f>
        <v>0.97499999999999998</v>
      </c>
      <c r="X40" s="95">
        <f t="shared" si="0"/>
        <v>12.832501994030022</v>
      </c>
      <c r="Y40" s="99" t="str">
        <f t="shared" si="1"/>
        <v>Greater than</v>
      </c>
    </row>
    <row r="41" spans="20:25" x14ac:dyDescent="0.2">
      <c r="U41" s="31">
        <f>SUM(U21:U40)</f>
        <v>100.00000000000016</v>
      </c>
    </row>
  </sheetData>
  <mergeCells count="9">
    <mergeCell ref="X19:X20"/>
    <mergeCell ref="Y19:Y20"/>
    <mergeCell ref="AB31:AF31"/>
    <mergeCell ref="A1:F4"/>
    <mergeCell ref="N4:R4"/>
    <mergeCell ref="T11:X11"/>
    <mergeCell ref="T19:U20"/>
    <mergeCell ref="V19:V20"/>
    <mergeCell ref="W19:W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001F-69DE-9947-9DC0-ADC298180E15}">
  <dimension ref="A1:AV58"/>
  <sheetViews>
    <sheetView tabSelected="1" topLeftCell="Y30" zoomScale="144" workbookViewId="0">
      <selection activeCell="AK51" sqref="AK51"/>
    </sheetView>
  </sheetViews>
  <sheetFormatPr baseColWidth="10" defaultRowHeight="16" x14ac:dyDescent="0.2"/>
  <cols>
    <col min="1" max="1" width="25.33203125" bestFit="1" customWidth="1"/>
    <col min="2" max="2" width="20.5" bestFit="1" customWidth="1"/>
    <col min="3" max="3" width="24.33203125" bestFit="1" customWidth="1"/>
    <col min="4" max="4" width="17.33203125" bestFit="1" customWidth="1"/>
    <col min="5" max="5" width="6.83203125" bestFit="1" customWidth="1"/>
    <col min="6" max="6" width="15.1640625" bestFit="1" customWidth="1"/>
    <col min="32" max="32" width="16.33203125" bestFit="1" customWidth="1"/>
    <col min="33" max="35" width="12.5" bestFit="1" customWidth="1"/>
  </cols>
  <sheetData>
    <row r="1" spans="1:35" ht="16" customHeight="1" x14ac:dyDescent="0.2">
      <c r="A1" s="102" t="s">
        <v>77</v>
      </c>
      <c r="B1" s="103" t="s">
        <v>78</v>
      </c>
      <c r="C1" s="103" t="s">
        <v>79</v>
      </c>
      <c r="D1" s="103" t="s">
        <v>80</v>
      </c>
      <c r="E1" s="104" t="s">
        <v>81</v>
      </c>
      <c r="G1" s="68" t="s">
        <v>97</v>
      </c>
      <c r="H1" s="69"/>
      <c r="I1" s="69"/>
      <c r="J1" s="117"/>
      <c r="L1" s="68" t="s">
        <v>39</v>
      </c>
      <c r="M1" s="69"/>
      <c r="N1" s="69"/>
      <c r="O1" s="117"/>
    </row>
    <row r="2" spans="1:35" ht="16" customHeight="1" x14ac:dyDescent="0.2">
      <c r="A2" s="14" t="s">
        <v>82</v>
      </c>
      <c r="B2" s="1">
        <v>642</v>
      </c>
      <c r="C2" s="1">
        <v>68</v>
      </c>
      <c r="D2" s="1">
        <v>4</v>
      </c>
      <c r="E2" s="105">
        <v>1.4</v>
      </c>
      <c r="G2" s="115">
        <v>642</v>
      </c>
      <c r="H2" s="1">
        <v>68</v>
      </c>
      <c r="I2" s="1">
        <v>4</v>
      </c>
      <c r="J2" s="116">
        <v>1.4</v>
      </c>
      <c r="L2" s="52">
        <f>G2-$G$11</f>
        <v>96.333333333333371</v>
      </c>
      <c r="M2" s="53">
        <f>H2-$H$11</f>
        <v>9.7777777777777786</v>
      </c>
      <c r="N2" s="53">
        <f>I2-$I$11</f>
        <v>-2.5555555555555554</v>
      </c>
      <c r="O2" s="54">
        <f>J2-$J$11</f>
        <v>-0.63666666666666716</v>
      </c>
      <c r="Q2" s="118" t="s">
        <v>98</v>
      </c>
      <c r="R2" s="119" cm="1">
        <f t="array" ref="R2:Z5">TRANSPOSE(L2:O10)</f>
        <v>96.333333333333371</v>
      </c>
      <c r="S2" s="120">
        <v>-94.666666666666629</v>
      </c>
      <c r="T2" s="120">
        <v>-11.666666666666629</v>
      </c>
      <c r="U2" s="120">
        <v>38.333333333333371</v>
      </c>
      <c r="V2" s="120">
        <v>-85.666666666666629</v>
      </c>
      <c r="W2" s="120">
        <v>58.333333333333371</v>
      </c>
      <c r="X2" s="120">
        <v>-81.666666666666629</v>
      </c>
      <c r="Y2" s="120">
        <v>56.333333333333371</v>
      </c>
      <c r="Z2" s="121">
        <v>24.333333333333371</v>
      </c>
    </row>
    <row r="3" spans="1:35" ht="16" customHeight="1" x14ac:dyDescent="0.2">
      <c r="A3" s="14" t="s">
        <v>83</v>
      </c>
      <c r="B3" s="1">
        <v>451</v>
      </c>
      <c r="C3" s="1">
        <v>51</v>
      </c>
      <c r="D3" s="1">
        <v>4</v>
      </c>
      <c r="E3" s="105">
        <v>1.21</v>
      </c>
      <c r="G3" s="115">
        <v>451</v>
      </c>
      <c r="H3" s="1">
        <v>51</v>
      </c>
      <c r="I3" s="1">
        <v>4</v>
      </c>
      <c r="J3" s="116">
        <v>1.21</v>
      </c>
      <c r="L3" s="55">
        <f t="shared" ref="L3:L10" si="0">G3-$G$11</f>
        <v>-94.666666666666629</v>
      </c>
      <c r="M3" s="32">
        <f t="shared" ref="M3:M10" si="1">H3-$H$11</f>
        <v>-7.2222222222222214</v>
      </c>
      <c r="N3" s="32">
        <f t="shared" ref="N3:N10" si="2">I3-$I$11</f>
        <v>-2.5555555555555554</v>
      </c>
      <c r="O3" s="57">
        <f t="shared" ref="O3:O6" si="3">J3-$J$11</f>
        <v>-0.8266666666666671</v>
      </c>
      <c r="R3" s="122">
        <v>9.7777777777777786</v>
      </c>
      <c r="S3" s="123">
        <v>-7.2222222222222214</v>
      </c>
      <c r="T3" s="123">
        <v>-3.2222222222222214</v>
      </c>
      <c r="U3" s="123">
        <v>0.77777777777777857</v>
      </c>
      <c r="V3" s="123">
        <v>-7.2222222222222214</v>
      </c>
      <c r="W3" s="123">
        <v>10.777777777777779</v>
      </c>
      <c r="X3" s="123">
        <v>-11.222222222222221</v>
      </c>
      <c r="Y3" s="123">
        <v>3.7777777777777786</v>
      </c>
      <c r="Z3" s="124">
        <v>3.7777777777777786</v>
      </c>
    </row>
    <row r="4" spans="1:35" ht="17" customHeight="1" x14ac:dyDescent="0.2">
      <c r="A4" s="14" t="s">
        <v>84</v>
      </c>
      <c r="B4" s="1">
        <v>534</v>
      </c>
      <c r="C4" s="1">
        <v>55</v>
      </c>
      <c r="D4" s="1">
        <v>6</v>
      </c>
      <c r="E4" s="105">
        <v>2.54</v>
      </c>
      <c r="G4" s="115">
        <v>534</v>
      </c>
      <c r="H4" s="1">
        <v>55</v>
      </c>
      <c r="I4" s="1">
        <v>6</v>
      </c>
      <c r="J4" s="116">
        <v>2.54</v>
      </c>
      <c r="L4" s="55">
        <f t="shared" si="0"/>
        <v>-11.666666666666629</v>
      </c>
      <c r="M4" s="32">
        <f t="shared" si="1"/>
        <v>-3.2222222222222214</v>
      </c>
      <c r="N4" s="32">
        <f t="shared" si="2"/>
        <v>-0.55555555555555536</v>
      </c>
      <c r="O4" s="57">
        <f t="shared" si="3"/>
        <v>0.50333333333333297</v>
      </c>
      <c r="R4" s="122">
        <v>-2.5555555555555554</v>
      </c>
      <c r="S4" s="123">
        <v>-2.5555555555555554</v>
      </c>
      <c r="T4" s="123">
        <v>-0.55555555555555536</v>
      </c>
      <c r="U4" s="123">
        <v>6.4444444444444446</v>
      </c>
      <c r="V4" s="123">
        <v>4.4444444444444446</v>
      </c>
      <c r="W4" s="123">
        <v>-1.5555555555555554</v>
      </c>
      <c r="X4" s="123">
        <v>-3.5555555555555554</v>
      </c>
      <c r="Y4" s="123">
        <v>1.4444444444444446</v>
      </c>
      <c r="Z4" s="124">
        <v>-1.5555555555555554</v>
      </c>
      <c r="AB4" t="s">
        <v>145</v>
      </c>
    </row>
    <row r="5" spans="1:35" x14ac:dyDescent="0.2">
      <c r="A5" s="14" t="s">
        <v>85</v>
      </c>
      <c r="B5" s="1">
        <v>584</v>
      </c>
      <c r="C5" s="1">
        <v>59</v>
      </c>
      <c r="D5" s="1">
        <v>13</v>
      </c>
      <c r="E5" s="105">
        <v>2.06</v>
      </c>
      <c r="G5" s="115">
        <v>584</v>
      </c>
      <c r="H5" s="1">
        <v>59</v>
      </c>
      <c r="I5" s="1">
        <v>13</v>
      </c>
      <c r="J5" s="116">
        <v>2.06</v>
      </c>
      <c r="L5" s="55">
        <f t="shared" si="0"/>
        <v>38.333333333333371</v>
      </c>
      <c r="M5" s="32">
        <f t="shared" si="1"/>
        <v>0.77777777777777857</v>
      </c>
      <c r="N5" s="32">
        <f t="shared" si="2"/>
        <v>6.4444444444444446</v>
      </c>
      <c r="O5" s="57">
        <f t="shared" si="3"/>
        <v>2.3333333333332984E-2</v>
      </c>
      <c r="R5" s="125">
        <v>-0.63666666666666716</v>
      </c>
      <c r="S5" s="126">
        <v>-0.8266666666666671</v>
      </c>
      <c r="T5" s="126">
        <v>0.50333333333333297</v>
      </c>
      <c r="U5" s="126">
        <v>2.3333333333332984E-2</v>
      </c>
      <c r="V5" s="126">
        <v>1.0533333333333328</v>
      </c>
      <c r="W5" s="126">
        <v>-1.0966666666666671</v>
      </c>
      <c r="X5" s="126">
        <v>-0.24666666666666703</v>
      </c>
      <c r="Y5" s="126">
        <v>0.61333333333333284</v>
      </c>
      <c r="Z5" s="127">
        <v>0.61333333333333284</v>
      </c>
      <c r="AB5" t="s">
        <v>146</v>
      </c>
    </row>
    <row r="6" spans="1:35" x14ac:dyDescent="0.2">
      <c r="A6" s="14" t="s">
        <v>86</v>
      </c>
      <c r="B6" s="1">
        <v>460</v>
      </c>
      <c r="C6" s="1">
        <v>51</v>
      </c>
      <c r="D6" s="1">
        <v>11</v>
      </c>
      <c r="E6" s="105">
        <v>3.09</v>
      </c>
      <c r="G6" s="115">
        <v>460</v>
      </c>
      <c r="H6" s="1">
        <v>51</v>
      </c>
      <c r="I6" s="1">
        <v>11</v>
      </c>
      <c r="J6" s="116">
        <v>3.09</v>
      </c>
      <c r="L6" s="55">
        <f t="shared" si="0"/>
        <v>-85.666666666666629</v>
      </c>
      <c r="M6" s="32">
        <f t="shared" si="1"/>
        <v>-7.2222222222222214</v>
      </c>
      <c r="N6" s="32">
        <f t="shared" si="2"/>
        <v>4.4444444444444446</v>
      </c>
      <c r="O6" s="57">
        <f t="shared" si="3"/>
        <v>1.0533333333333328</v>
      </c>
    </row>
    <row r="7" spans="1:35" x14ac:dyDescent="0.2">
      <c r="A7" s="14" t="s">
        <v>87</v>
      </c>
      <c r="B7" s="1">
        <v>604</v>
      </c>
      <c r="C7" s="1">
        <v>69</v>
      </c>
      <c r="D7" s="1">
        <v>5</v>
      </c>
      <c r="E7" s="105" t="s">
        <v>88</v>
      </c>
      <c r="G7" s="115">
        <v>604</v>
      </c>
      <c r="H7" s="1">
        <v>69</v>
      </c>
      <c r="I7" s="1">
        <v>5</v>
      </c>
      <c r="J7" s="116">
        <v>0.94</v>
      </c>
      <c r="L7" s="55">
        <f t="shared" si="0"/>
        <v>58.333333333333371</v>
      </c>
      <c r="M7" s="32">
        <f t="shared" si="1"/>
        <v>10.777777777777779</v>
      </c>
      <c r="N7" s="32">
        <f t="shared" si="2"/>
        <v>-1.5555555555555554</v>
      </c>
      <c r="O7" s="57">
        <f>J7-$J$11</f>
        <v>-1.0966666666666671</v>
      </c>
      <c r="Q7" s="152" t="s">
        <v>99</v>
      </c>
      <c r="R7" s="155" cm="1">
        <f t="array" ref="R7:U10">MMULT(_xlfn.ANCHORARRAY(R2),L2:O10)</f>
        <v>41024</v>
      </c>
      <c r="S7" s="156">
        <v>4161.6666666666661</v>
      </c>
      <c r="T7" s="156">
        <v>111.66666666666666</v>
      </c>
      <c r="U7" s="157">
        <v>-72.64</v>
      </c>
    </row>
    <row r="8" spans="1:35" x14ac:dyDescent="0.2">
      <c r="A8" s="14" t="s">
        <v>89</v>
      </c>
      <c r="B8" s="1">
        <v>464</v>
      </c>
      <c r="C8" s="1">
        <v>47</v>
      </c>
      <c r="D8" s="1">
        <v>3</v>
      </c>
      <c r="E8" s="105">
        <v>1.79</v>
      </c>
      <c r="G8" s="115">
        <v>464</v>
      </c>
      <c r="H8" s="1">
        <v>47</v>
      </c>
      <c r="I8" s="1">
        <v>3</v>
      </c>
      <c r="J8" s="116">
        <v>1.79</v>
      </c>
      <c r="L8" s="55">
        <f t="shared" si="0"/>
        <v>-81.666666666666629</v>
      </c>
      <c r="M8" s="32">
        <f t="shared" si="1"/>
        <v>-11.222222222222221</v>
      </c>
      <c r="N8" s="32">
        <f t="shared" si="2"/>
        <v>-3.5555555555555554</v>
      </c>
      <c r="O8" s="57">
        <f t="shared" ref="O8:O10" si="4">J8-$J$11</f>
        <v>-0.24666666666666703</v>
      </c>
      <c r="Q8" s="158"/>
      <c r="R8" s="159">
        <v>4161.6666666666661</v>
      </c>
      <c r="S8" s="160">
        <v>481.55555555555543</v>
      </c>
      <c r="T8" s="160">
        <v>-9.1111111111111125</v>
      </c>
      <c r="U8" s="161">
        <v>-13.883333333333333</v>
      </c>
    </row>
    <row r="9" spans="1:35" x14ac:dyDescent="0.2">
      <c r="A9" s="14" t="s">
        <v>90</v>
      </c>
      <c r="B9" s="1">
        <v>602</v>
      </c>
      <c r="C9" s="1">
        <v>62</v>
      </c>
      <c r="D9" s="1">
        <v>8</v>
      </c>
      <c r="E9" s="105">
        <v>2.65</v>
      </c>
      <c r="G9" s="115">
        <v>602</v>
      </c>
      <c r="H9" s="1">
        <v>62</v>
      </c>
      <c r="I9" s="1">
        <v>8</v>
      </c>
      <c r="J9" s="116">
        <v>2.65</v>
      </c>
      <c r="L9" s="55">
        <f t="shared" si="0"/>
        <v>56.333333333333371</v>
      </c>
      <c r="M9" s="32">
        <f t="shared" si="1"/>
        <v>3.7777777777777786</v>
      </c>
      <c r="N9" s="32">
        <f t="shared" si="2"/>
        <v>1.4444444444444446</v>
      </c>
      <c r="O9" s="57">
        <f t="shared" si="4"/>
        <v>0.61333333333333284</v>
      </c>
      <c r="Q9" s="158"/>
      <c r="R9" s="159">
        <v>111.66666666666666</v>
      </c>
      <c r="S9" s="160">
        <v>-9.1111111111111125</v>
      </c>
      <c r="T9" s="160">
        <v>94.222222222222214</v>
      </c>
      <c r="U9" s="161">
        <v>10.806666666666667</v>
      </c>
    </row>
    <row r="10" spans="1:35" ht="17" thickBot="1" x14ac:dyDescent="0.25">
      <c r="A10" s="17" t="s">
        <v>91</v>
      </c>
      <c r="B10" s="106">
        <v>570</v>
      </c>
      <c r="C10" s="106">
        <v>62</v>
      </c>
      <c r="D10" s="106">
        <v>5</v>
      </c>
      <c r="E10" s="107">
        <v>2.65</v>
      </c>
      <c r="G10" s="110">
        <v>570</v>
      </c>
      <c r="H10" s="111">
        <v>62</v>
      </c>
      <c r="I10" s="111">
        <v>5</v>
      </c>
      <c r="J10" s="127">
        <v>2.65</v>
      </c>
      <c r="L10" s="58">
        <f t="shared" si="0"/>
        <v>24.333333333333371</v>
      </c>
      <c r="M10" s="59">
        <f t="shared" si="1"/>
        <v>3.7777777777777786</v>
      </c>
      <c r="N10" s="59">
        <f t="shared" si="2"/>
        <v>-1.5555555555555554</v>
      </c>
      <c r="O10" s="60">
        <f t="shared" si="4"/>
        <v>0.61333333333333284</v>
      </c>
      <c r="Q10" s="158"/>
      <c r="R10" s="162">
        <v>-72.64</v>
      </c>
      <c r="S10" s="163">
        <v>-13.883333333333333</v>
      </c>
      <c r="T10" s="163">
        <v>10.806666666666667</v>
      </c>
      <c r="U10" s="164">
        <v>4.468</v>
      </c>
    </row>
    <row r="11" spans="1:35" x14ac:dyDescent="0.2">
      <c r="B11" s="1"/>
      <c r="C11" s="1"/>
      <c r="D11" s="1"/>
      <c r="E11" s="1"/>
      <c r="F11" s="128" t="s">
        <v>100</v>
      </c>
      <c r="G11" s="119">
        <f>AVERAGE(G2:G10)</f>
        <v>545.66666666666663</v>
      </c>
      <c r="H11" s="120">
        <f>AVERAGE(H2:H10)</f>
        <v>58.222222222222221</v>
      </c>
      <c r="I11" s="120">
        <f>AVERAGE(I2:I10)</f>
        <v>6.5555555555555554</v>
      </c>
      <c r="J11" s="121">
        <f>AVERAGE(J2:J10)</f>
        <v>2.0366666666666671</v>
      </c>
    </row>
    <row r="12" spans="1:35" x14ac:dyDescent="0.2">
      <c r="F12" s="129" t="s">
        <v>101</v>
      </c>
      <c r="G12" s="115">
        <f>_xlfn.VAR.S(G2:G10)</f>
        <v>5128</v>
      </c>
      <c r="H12" s="123">
        <f>_xlfn.VAR.S(H2:H10)</f>
        <v>60.194444444444343</v>
      </c>
      <c r="I12" s="123">
        <f>_xlfn.VAR.S(I2:I10)</f>
        <v>11.777777777777779</v>
      </c>
      <c r="J12" s="124">
        <f>_xlfn.VAR.S(J2:J9)</f>
        <v>0.57782857142857069</v>
      </c>
    </row>
    <row r="13" spans="1:35" x14ac:dyDescent="0.2">
      <c r="F13" s="130" t="s">
        <v>102</v>
      </c>
      <c r="G13" s="125">
        <f>SQRT(G12)</f>
        <v>71.61005515987263</v>
      </c>
      <c r="H13" s="126">
        <f>SQRT(H12)</f>
        <v>7.7585078748715812</v>
      </c>
      <c r="I13" s="126">
        <f>SQRT(I12)</f>
        <v>3.4318767136623336</v>
      </c>
      <c r="J13" s="127">
        <f>SQRT(J12)</f>
        <v>0.76015036106586875</v>
      </c>
      <c r="N13" s="131"/>
      <c r="O13" s="131"/>
      <c r="P13" s="131"/>
      <c r="Q13" s="131"/>
    </row>
    <row r="15" spans="1:35" x14ac:dyDescent="0.2">
      <c r="G15" s="68" t="s">
        <v>92</v>
      </c>
      <c r="H15" s="69"/>
      <c r="I15" s="69"/>
      <c r="J15" s="117"/>
    </row>
    <row r="16" spans="1:35" x14ac:dyDescent="0.2">
      <c r="E16" s="132" t="s">
        <v>103</v>
      </c>
      <c r="F16" s="179" t="s">
        <v>122</v>
      </c>
      <c r="G16" s="110" t="s">
        <v>93</v>
      </c>
      <c r="H16" s="111" t="s">
        <v>94</v>
      </c>
      <c r="I16" s="111" t="s">
        <v>95</v>
      </c>
      <c r="J16" s="112" t="s">
        <v>96</v>
      </c>
      <c r="K16" s="68" t="s">
        <v>31</v>
      </c>
      <c r="L16" s="69"/>
      <c r="M16" s="69"/>
      <c r="N16" s="117"/>
      <c r="O16" s="108" t="s">
        <v>121</v>
      </c>
      <c r="P16" s="65"/>
      <c r="Q16" s="65"/>
      <c r="R16" s="109"/>
      <c r="T16" s="68" t="s">
        <v>104</v>
      </c>
      <c r="U16" s="69"/>
      <c r="V16" s="69"/>
      <c r="W16" s="69"/>
      <c r="X16" s="69"/>
      <c r="Y16" s="117"/>
      <c r="AA16" s="62" t="s">
        <v>105</v>
      </c>
      <c r="AB16" s="63"/>
      <c r="AC16" s="63"/>
      <c r="AD16" s="64"/>
      <c r="AF16" s="62" t="s">
        <v>127</v>
      </c>
      <c r="AG16" s="63"/>
      <c r="AH16" s="63"/>
      <c r="AI16" s="64"/>
    </row>
    <row r="17" spans="5:48" x14ac:dyDescent="0.2">
      <c r="E17" s="82">
        <v>1</v>
      </c>
      <c r="F17" s="82" t="s">
        <v>82</v>
      </c>
      <c r="G17" s="113">
        <v>642</v>
      </c>
      <c r="H17" s="67">
        <v>68</v>
      </c>
      <c r="I17" s="67">
        <v>4</v>
      </c>
      <c r="J17" s="114">
        <v>1.4</v>
      </c>
      <c r="K17" s="52">
        <f>G17-$G$23</f>
        <v>116.5</v>
      </c>
      <c r="L17" s="53">
        <f>H17-$H$23</f>
        <v>12.333333333333336</v>
      </c>
      <c r="M17" s="53">
        <f>I17-$I$23</f>
        <v>-2</v>
      </c>
      <c r="N17" s="53">
        <f>J17-$J$23</f>
        <v>-0.71333333333333382</v>
      </c>
      <c r="O17" s="43">
        <f>K17/$G$25</f>
        <v>1.4314264625607451</v>
      </c>
      <c r="P17" s="44">
        <f t="shared" ref="P17:R17" si="5">L17/$G$25</f>
        <v>0.15153870991344087</v>
      </c>
      <c r="Q17" s="44">
        <f t="shared" si="5"/>
        <v>-2.4573844850828242E-2</v>
      </c>
      <c r="R17" s="45">
        <f t="shared" si="5"/>
        <v>-8.7646713301287454E-3</v>
      </c>
      <c r="T17" s="119" cm="1">
        <f t="array" ref="T17:Y20">TRANSPOSE(K17:N22)</f>
        <v>116.5</v>
      </c>
      <c r="U17" s="120">
        <v>-74.5</v>
      </c>
      <c r="V17" s="120">
        <v>8.5</v>
      </c>
      <c r="W17" s="120">
        <v>-65.5</v>
      </c>
      <c r="X17" s="120">
        <v>-61.5</v>
      </c>
      <c r="Y17" s="121">
        <v>76.5</v>
      </c>
      <c r="AA17" s="119" cm="1">
        <f t="array" ref="AA17:AD20">MMULT(_xlfn.ANCHORARRAY(T17),K17:N22)</f>
        <v>33119.5</v>
      </c>
      <c r="AB17" s="120">
        <v>3102</v>
      </c>
      <c r="AC17" s="120">
        <v>-74</v>
      </c>
      <c r="AD17" s="121">
        <v>-15.210000000000022</v>
      </c>
      <c r="AF17" s="52" cm="1">
        <f t="array" ref="AF17:AI20">(1/6)*_xlfn.ANCHORARRAY(AA17)</f>
        <v>5519.9166666666661</v>
      </c>
      <c r="AG17" s="53">
        <v>517</v>
      </c>
      <c r="AH17" s="53">
        <v>-12.333333333333332</v>
      </c>
      <c r="AI17" s="54">
        <v>-2.5350000000000037</v>
      </c>
    </row>
    <row r="18" spans="5:48" x14ac:dyDescent="0.2">
      <c r="E18" s="83">
        <v>2</v>
      </c>
      <c r="F18" s="83" t="s">
        <v>83</v>
      </c>
      <c r="G18" s="115">
        <v>451</v>
      </c>
      <c r="H18" s="1">
        <v>51</v>
      </c>
      <c r="I18" s="1">
        <v>4</v>
      </c>
      <c r="J18" s="116">
        <v>1.21</v>
      </c>
      <c r="K18" s="55">
        <f>G18-$G$23</f>
        <v>-74.5</v>
      </c>
      <c r="L18" s="32">
        <f>H18-$H$23</f>
        <v>-4.6666666666666643</v>
      </c>
      <c r="M18" s="32">
        <f>I18-$I$23</f>
        <v>-2</v>
      </c>
      <c r="N18" s="56">
        <f>J18-$J$23</f>
        <v>-0.90333333333333377</v>
      </c>
      <c r="O18" s="46">
        <f t="shared" ref="O18:O22" si="6">K18/$G$25</f>
        <v>-0.91537572069335205</v>
      </c>
      <c r="P18" s="47">
        <f t="shared" ref="P18:P22" si="7">L18/$G$25</f>
        <v>-5.7338971318599205E-2</v>
      </c>
      <c r="Q18" s="47">
        <f t="shared" ref="Q18:Q22" si="8">M18/$G$25</f>
        <v>-2.4573844850828242E-2</v>
      </c>
      <c r="R18" s="48">
        <f t="shared" ref="R18:R22" si="9">N18/$G$25</f>
        <v>-1.1099186590957428E-2</v>
      </c>
      <c r="T18" s="122">
        <v>12.333333333333336</v>
      </c>
      <c r="U18" s="123">
        <v>-4.6666666666666643</v>
      </c>
      <c r="V18" s="123">
        <v>-0.6666666666666643</v>
      </c>
      <c r="W18" s="123">
        <v>-4.6666666666666643</v>
      </c>
      <c r="X18" s="123">
        <v>-8.6666666666666643</v>
      </c>
      <c r="Y18" s="124">
        <v>6.3333333333333357</v>
      </c>
      <c r="AA18" s="122">
        <v>3102</v>
      </c>
      <c r="AB18" s="123">
        <v>311.33333333333331</v>
      </c>
      <c r="AC18" s="123">
        <v>0</v>
      </c>
      <c r="AD18" s="124">
        <v>-3.2233333333333327</v>
      </c>
      <c r="AF18" s="55">
        <v>517</v>
      </c>
      <c r="AG18" s="56">
        <v>51.888888888888886</v>
      </c>
      <c r="AH18" s="56">
        <v>0</v>
      </c>
      <c r="AI18" s="57">
        <v>-0.53722222222222205</v>
      </c>
    </row>
    <row r="19" spans="5:48" x14ac:dyDescent="0.2">
      <c r="E19" s="83">
        <v>3</v>
      </c>
      <c r="F19" s="83" t="s">
        <v>84</v>
      </c>
      <c r="G19" s="115">
        <v>534</v>
      </c>
      <c r="H19" s="1">
        <v>55</v>
      </c>
      <c r="I19" s="1">
        <v>6</v>
      </c>
      <c r="J19" s="116">
        <v>2.54</v>
      </c>
      <c r="K19" s="55">
        <f>G19-$G$23</f>
        <v>8.5</v>
      </c>
      <c r="L19" s="32">
        <f>H19-$H$23</f>
        <v>-0.6666666666666643</v>
      </c>
      <c r="M19" s="32">
        <f>I19-$I$23</f>
        <v>0</v>
      </c>
      <c r="N19" s="56">
        <f>J19-$J$23</f>
        <v>0.42666666666666631</v>
      </c>
      <c r="O19" s="46">
        <f t="shared" si="6"/>
        <v>0.10443884061602003</v>
      </c>
      <c r="P19" s="47">
        <f t="shared" si="7"/>
        <v>-8.191281616942719E-3</v>
      </c>
      <c r="Q19" s="47">
        <f t="shared" si="8"/>
        <v>0</v>
      </c>
      <c r="R19" s="48">
        <f t="shared" si="9"/>
        <v>5.2424202348433542E-3</v>
      </c>
      <c r="T19" s="122">
        <v>-2</v>
      </c>
      <c r="U19" s="123">
        <v>-2</v>
      </c>
      <c r="V19" s="123">
        <v>0</v>
      </c>
      <c r="W19" s="123">
        <v>5</v>
      </c>
      <c r="X19" s="123">
        <v>-3</v>
      </c>
      <c r="Y19" s="124">
        <v>2</v>
      </c>
      <c r="AA19" s="122">
        <v>-74</v>
      </c>
      <c r="AB19" s="123">
        <v>0</v>
      </c>
      <c r="AC19" s="123">
        <v>46</v>
      </c>
      <c r="AD19" s="124">
        <v>10.16</v>
      </c>
      <c r="AF19" s="55">
        <v>-12.333333333333332</v>
      </c>
      <c r="AG19" s="56">
        <v>0</v>
      </c>
      <c r="AH19" s="56">
        <v>7.6666666666666661</v>
      </c>
      <c r="AI19" s="57">
        <v>1.6933333333333334</v>
      </c>
    </row>
    <row r="20" spans="5:48" x14ac:dyDescent="0.2">
      <c r="E20" s="83">
        <v>4</v>
      </c>
      <c r="F20" s="83" t="s">
        <v>86</v>
      </c>
      <c r="G20" s="115">
        <v>460</v>
      </c>
      <c r="H20" s="1">
        <v>51</v>
      </c>
      <c r="I20" s="1">
        <v>11</v>
      </c>
      <c r="J20" s="116">
        <v>3.09</v>
      </c>
      <c r="K20" s="55">
        <f>G20-$G$23</f>
        <v>-65.5</v>
      </c>
      <c r="L20" s="32">
        <f>H20-$H$23</f>
        <v>-4.6666666666666643</v>
      </c>
      <c r="M20" s="32">
        <f>I20-$I$23</f>
        <v>5</v>
      </c>
      <c r="N20" s="56">
        <f>J20-$J$23</f>
        <v>0.97666666666666613</v>
      </c>
      <c r="O20" s="46">
        <f t="shared" si="6"/>
        <v>-0.80479341886462497</v>
      </c>
      <c r="P20" s="47">
        <f t="shared" si="7"/>
        <v>-5.7338971318599205E-2</v>
      </c>
      <c r="Q20" s="47">
        <f t="shared" si="8"/>
        <v>6.1434612127070611E-2</v>
      </c>
      <c r="R20" s="48">
        <f t="shared" si="9"/>
        <v>1.2000227568821119E-2</v>
      </c>
      <c r="T20" s="125">
        <v>-0.71333333333333382</v>
      </c>
      <c r="U20" s="126">
        <v>-0.90333333333333377</v>
      </c>
      <c r="V20" s="126">
        <v>0.42666666666666631</v>
      </c>
      <c r="W20" s="126">
        <v>0.97666666666666613</v>
      </c>
      <c r="X20" s="126">
        <v>-0.32333333333333369</v>
      </c>
      <c r="Y20" s="127">
        <v>0.53666666666666618</v>
      </c>
      <c r="AA20" s="125">
        <v>-15.210000000000022</v>
      </c>
      <c r="AB20" s="126">
        <v>-3.2233333333333327</v>
      </c>
      <c r="AC20" s="126">
        <v>10.16</v>
      </c>
      <c r="AD20" s="127">
        <v>2.8533333333333331</v>
      </c>
      <c r="AF20" s="58">
        <v>-2.5350000000000037</v>
      </c>
      <c r="AG20" s="59">
        <v>-0.53722222222222205</v>
      </c>
      <c r="AH20" s="59">
        <v>1.6933333333333334</v>
      </c>
      <c r="AI20" s="60">
        <v>0.47555555555555551</v>
      </c>
    </row>
    <row r="21" spans="5:48" x14ac:dyDescent="0.2">
      <c r="E21" s="83">
        <v>5</v>
      </c>
      <c r="F21" s="83" t="s">
        <v>89</v>
      </c>
      <c r="G21" s="115">
        <v>464</v>
      </c>
      <c r="H21" s="1">
        <v>47</v>
      </c>
      <c r="I21" s="1">
        <v>3</v>
      </c>
      <c r="J21" s="116">
        <v>1.79</v>
      </c>
      <c r="K21" s="55">
        <f>G21-$G$23</f>
        <v>-61.5</v>
      </c>
      <c r="L21" s="32">
        <f>H21-$H$23</f>
        <v>-8.6666666666666643</v>
      </c>
      <c r="M21" s="32">
        <f>I21-$I$23</f>
        <v>-3</v>
      </c>
      <c r="N21" s="56">
        <f>J21-$J$23</f>
        <v>-0.32333333333333369</v>
      </c>
      <c r="O21" s="46">
        <f t="shared" si="6"/>
        <v>-0.75564572916296846</v>
      </c>
      <c r="P21" s="47">
        <f t="shared" si="7"/>
        <v>-0.1064866610202557</v>
      </c>
      <c r="Q21" s="47">
        <f t="shared" si="8"/>
        <v>-3.6860767276242365E-2</v>
      </c>
      <c r="R21" s="48">
        <f>N21/$G$25</f>
        <v>-3.972771584217237E-3</v>
      </c>
    </row>
    <row r="22" spans="5:48" x14ac:dyDescent="0.2">
      <c r="E22" s="84">
        <v>6</v>
      </c>
      <c r="F22" s="84" t="s">
        <v>90</v>
      </c>
      <c r="G22" s="110">
        <v>602</v>
      </c>
      <c r="H22" s="111">
        <v>62</v>
      </c>
      <c r="I22" s="111">
        <v>8</v>
      </c>
      <c r="J22" s="112">
        <v>2.65</v>
      </c>
      <c r="K22" s="58">
        <f>G22-$G$23</f>
        <v>76.5</v>
      </c>
      <c r="L22" s="59">
        <f>H22-$H$23</f>
        <v>6.3333333333333357</v>
      </c>
      <c r="M22" s="59">
        <f>I22-$I$23</f>
        <v>2</v>
      </c>
      <c r="N22" s="59">
        <f>J22-$J$23</f>
        <v>0.53666666666666618</v>
      </c>
      <c r="O22" s="49">
        <f t="shared" si="6"/>
        <v>0.9399495655441803</v>
      </c>
      <c r="P22" s="50">
        <f t="shared" si="7"/>
        <v>7.7817175360956128E-2</v>
      </c>
      <c r="Q22" s="50">
        <f t="shared" si="8"/>
        <v>2.4573844850828242E-2</v>
      </c>
      <c r="R22" s="51">
        <f t="shared" si="9"/>
        <v>6.5939817016389063E-3</v>
      </c>
      <c r="AF22" s="36" t="s">
        <v>128</v>
      </c>
      <c r="AG22" s="32">
        <f>MDETERM(_xlfn.ANCHORARRAY(AF17))</f>
        <v>1105.5472871656261</v>
      </c>
    </row>
    <row r="23" spans="5:48" x14ac:dyDescent="0.2">
      <c r="F23" s="132" t="s">
        <v>106</v>
      </c>
      <c r="G23" s="133">
        <f>AVERAGE(G17:G22)</f>
        <v>525.5</v>
      </c>
      <c r="H23" s="133">
        <f t="shared" ref="H23:J23" si="10">AVERAGE(H17:H22)</f>
        <v>55.666666666666664</v>
      </c>
      <c r="I23" s="133">
        <f t="shared" si="10"/>
        <v>6</v>
      </c>
      <c r="J23" s="134">
        <f t="shared" si="10"/>
        <v>2.1133333333333337</v>
      </c>
      <c r="AF23" s="36" t="s">
        <v>129</v>
      </c>
      <c r="AG23" s="32">
        <f>LN(AG22)</f>
        <v>7.0080957738427871</v>
      </c>
    </row>
    <row r="24" spans="5:48" x14ac:dyDescent="0.2">
      <c r="F24" s="132" t="s">
        <v>119</v>
      </c>
      <c r="G24" s="178">
        <f>_xlfn.VAR.S(G17:G22)</f>
        <v>6623.9</v>
      </c>
      <c r="H24" s="133">
        <f t="shared" ref="H24:J24" si="11">_xlfn.VAR.S(H17:H22)</f>
        <v>62.266666666666424</v>
      </c>
      <c r="I24" s="133">
        <f t="shared" si="11"/>
        <v>9.1999999999999993</v>
      </c>
      <c r="J24" s="134">
        <f t="shared" si="11"/>
        <v>0.57066666666666632</v>
      </c>
    </row>
    <row r="25" spans="5:48" x14ac:dyDescent="0.2">
      <c r="F25" s="84" t="s">
        <v>120</v>
      </c>
      <c r="G25" s="125">
        <f>SQRT(G24)</f>
        <v>81.387345453700604</v>
      </c>
      <c r="H25" s="126">
        <f t="shared" ref="H25:J25" si="12">SQRT(H24)</f>
        <v>7.8909230554268124</v>
      </c>
      <c r="I25" s="126">
        <f t="shared" si="12"/>
        <v>3.03315017762062</v>
      </c>
      <c r="J25" s="127">
        <f t="shared" si="12"/>
        <v>0.75542482529148214</v>
      </c>
    </row>
    <row r="27" spans="5:48" x14ac:dyDescent="0.2">
      <c r="G27" s="108" t="s">
        <v>107</v>
      </c>
      <c r="H27" s="65"/>
      <c r="I27" s="65"/>
      <c r="J27" s="109"/>
    </row>
    <row r="28" spans="5:48" ht="17" customHeight="1" x14ac:dyDescent="0.2">
      <c r="E28" s="132" t="s">
        <v>103</v>
      </c>
      <c r="F28" s="132" t="s">
        <v>122</v>
      </c>
      <c r="G28" s="110" t="s">
        <v>93</v>
      </c>
      <c r="H28" s="111" t="s">
        <v>94</v>
      </c>
      <c r="I28" s="111" t="s">
        <v>95</v>
      </c>
      <c r="J28" s="112" t="s">
        <v>96</v>
      </c>
      <c r="K28" s="68" t="s">
        <v>32</v>
      </c>
      <c r="L28" s="69"/>
      <c r="M28" s="69"/>
      <c r="N28" s="117"/>
      <c r="O28" s="68" t="s">
        <v>125</v>
      </c>
      <c r="P28" s="69"/>
      <c r="Q28" s="69"/>
      <c r="R28" s="117"/>
      <c r="T28" s="68" t="s">
        <v>108</v>
      </c>
      <c r="U28" s="69"/>
      <c r="V28" s="117"/>
      <c r="W28" s="40"/>
      <c r="X28" s="40"/>
      <c r="Y28" s="40"/>
      <c r="AA28" s="68" t="s">
        <v>109</v>
      </c>
      <c r="AB28" s="69"/>
      <c r="AC28" s="69"/>
      <c r="AD28" s="117"/>
      <c r="AF28" s="62" t="s">
        <v>126</v>
      </c>
      <c r="AG28" s="63"/>
      <c r="AH28" s="63"/>
      <c r="AI28" s="64"/>
    </row>
    <row r="29" spans="5:48" x14ac:dyDescent="0.2">
      <c r="E29" s="82">
        <v>1</v>
      </c>
      <c r="F29" s="82" t="s">
        <v>85</v>
      </c>
      <c r="G29" s="115">
        <v>584</v>
      </c>
      <c r="H29" s="1">
        <v>59</v>
      </c>
      <c r="I29" s="1">
        <v>13</v>
      </c>
      <c r="J29" s="116">
        <v>2.06</v>
      </c>
      <c r="K29" s="52">
        <f>G29-$G$32</f>
        <v>-2</v>
      </c>
      <c r="L29" s="53">
        <f>H29-$H$32</f>
        <v>-4.3333333333333357</v>
      </c>
      <c r="M29" s="53">
        <f>I29-$I$32</f>
        <v>5.333333333333333</v>
      </c>
      <c r="N29" s="54">
        <f>J29-$J$32</f>
        <v>0.17666666666666653</v>
      </c>
      <c r="O29" s="52">
        <f>K29/$G$34</f>
        <v>-0.11704114719613057</v>
      </c>
      <c r="P29" s="53">
        <f t="shared" ref="P29:R31" si="13">L29/$G$34</f>
        <v>-0.25358915225828305</v>
      </c>
      <c r="Q29" s="53">
        <f t="shared" si="13"/>
        <v>0.31210972585634816</v>
      </c>
      <c r="R29" s="54">
        <f t="shared" si="13"/>
        <v>1.0338634668991526E-2</v>
      </c>
      <c r="T29" s="119" cm="1">
        <f t="array" ref="T29:V32">TRANSPOSE(K29:N31)</f>
        <v>-2</v>
      </c>
      <c r="U29" s="120">
        <v>18</v>
      </c>
      <c r="V29" s="121">
        <v>-16</v>
      </c>
      <c r="AA29" s="119" cm="1">
        <f t="array" ref="AA29:AD32">MMULT(_xlfn.ANCHORARRAY(T29),K29:N31)</f>
        <v>584</v>
      </c>
      <c r="AB29" s="120">
        <v>132</v>
      </c>
      <c r="AC29" s="120">
        <v>-16</v>
      </c>
      <c r="AD29" s="121">
        <v>-29.599999999999998</v>
      </c>
      <c r="AF29" s="52" cm="1">
        <f t="array" ref="AF29:AI32">(1/2)*_xlfn.ANCHORARRAY(AA29)</f>
        <v>292</v>
      </c>
      <c r="AG29" s="53">
        <v>66</v>
      </c>
      <c r="AH29" s="53">
        <v>-8</v>
      </c>
      <c r="AI29" s="54">
        <v>-14.799999999999999</v>
      </c>
      <c r="AL29" s="185" t="s">
        <v>136</v>
      </c>
      <c r="AM29" s="186"/>
      <c r="AN29" s="186"/>
      <c r="AO29" s="186"/>
      <c r="AP29" s="186"/>
      <c r="AQ29" s="184"/>
      <c r="AR29" s="184"/>
      <c r="AS29" s="184"/>
      <c r="AT29" s="184"/>
      <c r="AU29" s="184"/>
      <c r="AV29" s="184"/>
    </row>
    <row r="30" spans="5:48" x14ac:dyDescent="0.2">
      <c r="E30" s="83">
        <v>2</v>
      </c>
      <c r="F30" s="83" t="s">
        <v>87</v>
      </c>
      <c r="G30" s="115">
        <v>604</v>
      </c>
      <c r="H30" s="1">
        <v>69</v>
      </c>
      <c r="I30" s="1">
        <v>5</v>
      </c>
      <c r="J30" s="116">
        <v>0.94</v>
      </c>
      <c r="K30" s="55">
        <f>G30-$G$32</f>
        <v>18</v>
      </c>
      <c r="L30" s="32">
        <f>H30-$H$32</f>
        <v>5.6666666666666643</v>
      </c>
      <c r="M30" s="32">
        <f>I30-$I$32</f>
        <v>-2.666666666666667</v>
      </c>
      <c r="N30" s="57">
        <f>J30-$J$32</f>
        <v>-0.94333333333333358</v>
      </c>
      <c r="O30" s="55">
        <f t="shared" ref="O30:O31" si="14">K30/$G$34</f>
        <v>1.0533703247651751</v>
      </c>
      <c r="P30" s="56">
        <f t="shared" si="13"/>
        <v>0.33161658372236985</v>
      </c>
      <c r="Q30" s="56">
        <f t="shared" si="13"/>
        <v>-0.15605486292817411</v>
      </c>
      <c r="R30" s="57">
        <f t="shared" si="13"/>
        <v>-5.5204407760841602E-2</v>
      </c>
      <c r="T30" s="122">
        <v>-4.3333333333333357</v>
      </c>
      <c r="U30" s="123">
        <v>5.6666666666666643</v>
      </c>
      <c r="V30" s="124">
        <v>-1.3333333333333357</v>
      </c>
      <c r="AA30" s="122">
        <v>132</v>
      </c>
      <c r="AB30" s="123">
        <v>52.666666666666671</v>
      </c>
      <c r="AC30" s="123">
        <v>-34.666666666666664</v>
      </c>
      <c r="AD30" s="124">
        <v>-7.1333333333333337</v>
      </c>
      <c r="AF30" s="55">
        <v>66</v>
      </c>
      <c r="AG30" s="56">
        <v>26.333333333333336</v>
      </c>
      <c r="AH30" s="56">
        <v>-17.333333333333332</v>
      </c>
      <c r="AI30" s="57">
        <v>-3.5666666666666669</v>
      </c>
      <c r="AL30" s="185" t="s">
        <v>137</v>
      </c>
      <c r="AM30" s="186"/>
      <c r="AN30" s="186"/>
      <c r="AO30" s="186"/>
      <c r="AP30" s="186"/>
      <c r="AQ30" s="184"/>
      <c r="AR30" s="184"/>
      <c r="AS30" s="184"/>
      <c r="AT30" s="184"/>
      <c r="AU30" s="184"/>
      <c r="AV30" s="184"/>
    </row>
    <row r="31" spans="5:48" ht="18" customHeight="1" x14ac:dyDescent="0.2">
      <c r="E31" s="84">
        <v>3</v>
      </c>
      <c r="F31" s="84" t="s">
        <v>91</v>
      </c>
      <c r="G31" s="110">
        <v>570</v>
      </c>
      <c r="H31" s="111">
        <v>62</v>
      </c>
      <c r="I31" s="111">
        <v>5</v>
      </c>
      <c r="J31" s="127">
        <v>2.65</v>
      </c>
      <c r="K31" s="58">
        <f>G31-$G$32</f>
        <v>-16</v>
      </c>
      <c r="L31" s="59">
        <f>H31-$H$32</f>
        <v>-1.3333333333333357</v>
      </c>
      <c r="M31" s="59">
        <f>I31-$I$32</f>
        <v>-2.666666666666667</v>
      </c>
      <c r="N31" s="60">
        <f>J31-$J$32</f>
        <v>0.76666666666666639</v>
      </c>
      <c r="O31" s="58">
        <f t="shared" si="14"/>
        <v>-0.93632917756904455</v>
      </c>
      <c r="P31" s="59">
        <f t="shared" si="13"/>
        <v>-7.8027431464087194E-2</v>
      </c>
      <c r="Q31" s="59">
        <f t="shared" si="13"/>
        <v>-0.15605486292817411</v>
      </c>
      <c r="R31" s="60">
        <f t="shared" si="13"/>
        <v>4.4865773091850039E-2</v>
      </c>
      <c r="T31" s="122">
        <v>5.333333333333333</v>
      </c>
      <c r="U31" s="123">
        <v>-2.666666666666667</v>
      </c>
      <c r="V31" s="124">
        <v>-2.666666666666667</v>
      </c>
      <c r="AA31" s="122">
        <v>-16</v>
      </c>
      <c r="AB31" s="123">
        <v>-34.666666666666664</v>
      </c>
      <c r="AC31" s="123">
        <v>42.666666666666671</v>
      </c>
      <c r="AD31" s="124">
        <v>1.4133333333333344</v>
      </c>
      <c r="AF31" s="55">
        <v>-8</v>
      </c>
      <c r="AG31" s="56">
        <v>-17.333333333333332</v>
      </c>
      <c r="AH31" s="56">
        <v>21.333333333333336</v>
      </c>
      <c r="AI31" s="57">
        <v>0.70666666666666722</v>
      </c>
      <c r="AL31" s="185" t="s">
        <v>138</v>
      </c>
      <c r="AM31" s="186"/>
      <c r="AN31" s="186"/>
      <c r="AO31" s="186"/>
      <c r="AP31" s="186"/>
      <c r="AQ31" s="184"/>
      <c r="AR31" s="184"/>
      <c r="AS31" s="184"/>
      <c r="AT31" s="184"/>
      <c r="AU31" s="184"/>
      <c r="AV31" s="184"/>
    </row>
    <row r="32" spans="5:48" ht="18" customHeight="1" x14ac:dyDescent="0.2">
      <c r="F32" s="132" t="s">
        <v>110</v>
      </c>
      <c r="G32" s="133">
        <f>AVERAGE(G29:G31)</f>
        <v>586</v>
      </c>
      <c r="H32" s="133">
        <f t="shared" ref="H32:J32" si="15">AVERAGE(H29:H31)</f>
        <v>63.333333333333336</v>
      </c>
      <c r="I32" s="133">
        <f t="shared" si="15"/>
        <v>7.666666666666667</v>
      </c>
      <c r="J32" s="134">
        <f t="shared" si="15"/>
        <v>1.8833333333333335</v>
      </c>
      <c r="T32" s="125">
        <v>0.17666666666666653</v>
      </c>
      <c r="U32" s="126">
        <v>-0.94333333333333358</v>
      </c>
      <c r="V32" s="127">
        <v>0.76666666666666639</v>
      </c>
      <c r="AA32" s="125">
        <v>-29.599999999999998</v>
      </c>
      <c r="AB32" s="126">
        <v>-7.1333333333333337</v>
      </c>
      <c r="AC32" s="126">
        <v>1.4133333333333344</v>
      </c>
      <c r="AD32" s="127">
        <v>1.5088666666666666</v>
      </c>
      <c r="AF32" s="58">
        <v>-14.799999999999999</v>
      </c>
      <c r="AG32" s="59">
        <v>-3.5666666666666669</v>
      </c>
      <c r="AH32" s="59">
        <v>0.70666666666666722</v>
      </c>
      <c r="AI32" s="60">
        <v>0.75443333333333329</v>
      </c>
      <c r="AL32" s="185" t="s">
        <v>139</v>
      </c>
      <c r="AM32" s="186"/>
      <c r="AN32" s="186"/>
      <c r="AO32" s="186"/>
      <c r="AP32" s="186"/>
      <c r="AQ32" s="184"/>
      <c r="AR32" s="184"/>
      <c r="AS32" s="184"/>
      <c r="AT32" s="184"/>
      <c r="AU32" s="184"/>
      <c r="AV32" s="184"/>
    </row>
    <row r="33" spans="6:35" x14ac:dyDescent="0.2">
      <c r="F33" s="135" t="s">
        <v>123</v>
      </c>
      <c r="G33" s="119">
        <f>_xlfn.VAR.S(G29:G31)</f>
        <v>292</v>
      </c>
      <c r="H33" s="120">
        <f t="shared" ref="H33:J33" si="16">_xlfn.VAR.S(H29:H31)</f>
        <v>26.333333333333336</v>
      </c>
      <c r="I33" s="120">
        <f t="shared" si="16"/>
        <v>21.333333333333329</v>
      </c>
      <c r="J33" s="121">
        <f t="shared" si="16"/>
        <v>0.75443333333333218</v>
      </c>
      <c r="AA33" s="181"/>
      <c r="AB33" s="181"/>
      <c r="AC33" s="181"/>
      <c r="AD33" s="181"/>
    </row>
    <row r="34" spans="6:35" x14ac:dyDescent="0.2">
      <c r="F34" s="136" t="s">
        <v>124</v>
      </c>
      <c r="G34" s="125">
        <f>SQRT(G33)</f>
        <v>17.088007490635061</v>
      </c>
      <c r="H34" s="126">
        <f t="shared" ref="H34:J34" si="17">SQRT(H33)</f>
        <v>5.1316014394468841</v>
      </c>
      <c r="I34" s="126">
        <f t="shared" si="17"/>
        <v>4.6188021535170058</v>
      </c>
      <c r="J34" s="127">
        <f t="shared" si="17"/>
        <v>0.86858121861650461</v>
      </c>
      <c r="AA34" s="181"/>
      <c r="AB34" s="181"/>
      <c r="AC34" s="181"/>
      <c r="AD34" s="181"/>
      <c r="AF34" s="36" t="s">
        <v>130</v>
      </c>
      <c r="AG34" s="180">
        <f>MDETERM(_xlfn.ANCHORARRAY(AF29))</f>
        <v>3.5133070836171206E-27</v>
      </c>
    </row>
    <row r="35" spans="6:35" x14ac:dyDescent="0.2">
      <c r="AA35" s="181"/>
      <c r="AB35" s="181"/>
      <c r="AC35" s="181"/>
      <c r="AD35" s="181"/>
      <c r="AF35" s="36" t="s">
        <v>131</v>
      </c>
      <c r="AG35" s="32">
        <f>LN(AG34)</f>
        <v>-60.913239727878263</v>
      </c>
    </row>
    <row r="38" spans="6:35" x14ac:dyDescent="0.2">
      <c r="L38" s="137" t="s">
        <v>112</v>
      </c>
      <c r="M38" s="138"/>
      <c r="N38" s="138"/>
      <c r="O38" s="139"/>
    </row>
    <row r="39" spans="6:35" x14ac:dyDescent="0.2">
      <c r="F39" s="82" t="s">
        <v>82</v>
      </c>
      <c r="G39" s="119">
        <v>525.5</v>
      </c>
      <c r="H39" s="120">
        <v>55.67</v>
      </c>
      <c r="I39" s="120">
        <v>6</v>
      </c>
      <c r="J39" s="121">
        <v>2.11</v>
      </c>
      <c r="L39" s="52">
        <f>G39-$G$48</f>
        <v>-20.166666666666629</v>
      </c>
      <c r="M39" s="53">
        <f>H39-$H$48</f>
        <v>-2.5533333333333275</v>
      </c>
      <c r="N39" s="53">
        <f>I39-$I$48</f>
        <v>-0.55666666666666753</v>
      </c>
      <c r="O39" s="54">
        <f>J39-$J$48</f>
        <v>7.6666666666666661E-2</v>
      </c>
      <c r="P39" s="140" t="s">
        <v>113</v>
      </c>
      <c r="Q39" s="141"/>
      <c r="R39" s="142"/>
      <c r="AA39" s="165" t="s">
        <v>111</v>
      </c>
      <c r="AB39" s="166"/>
      <c r="AC39" s="166"/>
      <c r="AD39" s="167"/>
      <c r="AF39" s="62" t="s">
        <v>132</v>
      </c>
      <c r="AG39" s="63"/>
      <c r="AH39" s="63"/>
      <c r="AI39" s="64"/>
    </row>
    <row r="40" spans="6:35" x14ac:dyDescent="0.2">
      <c r="F40" s="83" t="s">
        <v>83</v>
      </c>
      <c r="G40" s="122">
        <v>525.5</v>
      </c>
      <c r="H40" s="123">
        <v>55.67</v>
      </c>
      <c r="I40" s="123">
        <v>6</v>
      </c>
      <c r="J40" s="124">
        <v>2.11</v>
      </c>
      <c r="L40" s="55">
        <f t="shared" ref="L40:L47" si="18">G40-$G$48</f>
        <v>-20.166666666666629</v>
      </c>
      <c r="M40" s="32">
        <f t="shared" ref="M40:M47" si="19">H40-$H$48</f>
        <v>-2.5533333333333275</v>
      </c>
      <c r="N40" s="32">
        <f t="shared" ref="N40:N47" si="20">I40-$I$48</f>
        <v>-0.55666666666666753</v>
      </c>
      <c r="O40" s="57">
        <f t="shared" ref="O40:O47" si="21">J40-$J$48</f>
        <v>7.6666666666666661E-2</v>
      </c>
      <c r="P40" s="143"/>
      <c r="Q40" s="144"/>
      <c r="R40" s="145"/>
      <c r="AA40" s="155">
        <f>AA17+AA29</f>
        <v>33703.5</v>
      </c>
      <c r="AB40" s="156">
        <f>AB17+AB29</f>
        <v>3234</v>
      </c>
      <c r="AC40" s="156">
        <f>AC17+AC29</f>
        <v>-90</v>
      </c>
      <c r="AD40" s="157">
        <f>AD17+AD29</f>
        <v>-44.810000000000016</v>
      </c>
      <c r="AF40" s="52" cm="1">
        <f t="array" ref="AF40:AI43">AA40:AD43/(9-2)</f>
        <v>4814.7857142857147</v>
      </c>
      <c r="AG40" s="53">
        <v>462</v>
      </c>
      <c r="AH40" s="53">
        <v>-12.857142857142858</v>
      </c>
      <c r="AI40" s="54">
        <v>-6.4014285714285739</v>
      </c>
    </row>
    <row r="41" spans="6:35" x14ac:dyDescent="0.2">
      <c r="F41" s="83" t="s">
        <v>84</v>
      </c>
      <c r="G41" s="122">
        <v>525.5</v>
      </c>
      <c r="H41" s="123">
        <v>55.67</v>
      </c>
      <c r="I41" s="123">
        <v>6</v>
      </c>
      <c r="J41" s="124">
        <v>2.11</v>
      </c>
      <c r="L41" s="55">
        <f t="shared" si="18"/>
        <v>-20.166666666666629</v>
      </c>
      <c r="M41" s="32">
        <f t="shared" si="19"/>
        <v>-2.5533333333333275</v>
      </c>
      <c r="N41" s="32">
        <f t="shared" si="20"/>
        <v>-0.55666666666666753</v>
      </c>
      <c r="O41" s="57">
        <f t="shared" si="21"/>
        <v>7.6666666666666661E-2</v>
      </c>
      <c r="P41" s="143"/>
      <c r="Q41" s="144"/>
      <c r="R41" s="145"/>
      <c r="AA41" s="159">
        <f>AA18+AA30</f>
        <v>3234</v>
      </c>
      <c r="AB41" s="160">
        <f>AB18+AB30</f>
        <v>364</v>
      </c>
      <c r="AC41" s="160">
        <f>AC18+AC30</f>
        <v>-34.666666666666664</v>
      </c>
      <c r="AD41" s="161">
        <f>AD18+AD30</f>
        <v>-10.356666666666666</v>
      </c>
      <c r="AF41" s="55">
        <v>462</v>
      </c>
      <c r="AG41" s="56">
        <v>52</v>
      </c>
      <c r="AH41" s="56">
        <v>-4.9523809523809517</v>
      </c>
      <c r="AI41" s="57">
        <v>-1.4795238095238095</v>
      </c>
    </row>
    <row r="42" spans="6:35" x14ac:dyDescent="0.2">
      <c r="F42" s="83" t="s">
        <v>86</v>
      </c>
      <c r="G42" s="122">
        <v>525.5</v>
      </c>
      <c r="H42" s="123">
        <v>55.67</v>
      </c>
      <c r="I42" s="123">
        <v>6</v>
      </c>
      <c r="J42" s="124">
        <v>2.11</v>
      </c>
      <c r="L42" s="55">
        <f t="shared" si="18"/>
        <v>-20.166666666666629</v>
      </c>
      <c r="M42" s="32">
        <f t="shared" si="19"/>
        <v>-2.5533333333333275</v>
      </c>
      <c r="N42" s="32">
        <f t="shared" si="20"/>
        <v>-0.55666666666666753</v>
      </c>
      <c r="O42" s="57">
        <f t="shared" si="21"/>
        <v>7.6666666666666661E-2</v>
      </c>
      <c r="P42" s="143"/>
      <c r="Q42" s="144"/>
      <c r="R42" s="145"/>
      <c r="AA42" s="159">
        <f>AA19+AA31</f>
        <v>-90</v>
      </c>
      <c r="AB42" s="160">
        <f>AB19+AB31</f>
        <v>-34.666666666666664</v>
      </c>
      <c r="AC42" s="160">
        <f>AC19+AC31</f>
        <v>88.666666666666671</v>
      </c>
      <c r="AD42" s="161">
        <f>AD19+AD31</f>
        <v>11.573333333333334</v>
      </c>
      <c r="AF42" s="55">
        <v>-12.857142857142858</v>
      </c>
      <c r="AG42" s="56">
        <v>-4.9523809523809517</v>
      </c>
      <c r="AH42" s="56">
        <v>12.666666666666668</v>
      </c>
      <c r="AI42" s="57">
        <v>1.6533333333333335</v>
      </c>
    </row>
    <row r="43" spans="6:35" x14ac:dyDescent="0.2">
      <c r="F43" s="83" t="s">
        <v>89</v>
      </c>
      <c r="G43" s="122">
        <v>525.5</v>
      </c>
      <c r="H43" s="123">
        <v>55.67</v>
      </c>
      <c r="I43" s="123">
        <v>6</v>
      </c>
      <c r="J43" s="124">
        <v>2.11</v>
      </c>
      <c r="L43" s="55">
        <f t="shared" si="18"/>
        <v>-20.166666666666629</v>
      </c>
      <c r="M43" s="32">
        <f t="shared" si="19"/>
        <v>-2.5533333333333275</v>
      </c>
      <c r="N43" s="32">
        <f t="shared" si="20"/>
        <v>-0.55666666666666753</v>
      </c>
      <c r="O43" s="57">
        <f t="shared" si="21"/>
        <v>7.6666666666666661E-2</v>
      </c>
      <c r="P43" s="143"/>
      <c r="Q43" s="144"/>
      <c r="R43" s="145"/>
      <c r="AA43" s="162">
        <f>AA20+AA32</f>
        <v>-44.810000000000016</v>
      </c>
      <c r="AB43" s="163">
        <f>AB20+AB32</f>
        <v>-10.356666666666666</v>
      </c>
      <c r="AC43" s="163">
        <f>AC20+AC32</f>
        <v>11.573333333333334</v>
      </c>
      <c r="AD43" s="164">
        <f>AD20+AD32</f>
        <v>4.3621999999999996</v>
      </c>
      <c r="AF43" s="58">
        <v>-6.4014285714285739</v>
      </c>
      <c r="AG43" s="59">
        <v>-1.4795238095238095</v>
      </c>
      <c r="AH43" s="59">
        <v>1.6533333333333335</v>
      </c>
      <c r="AI43" s="60">
        <v>0.62317142857142849</v>
      </c>
    </row>
    <row r="44" spans="6:35" x14ac:dyDescent="0.2">
      <c r="F44" s="84" t="s">
        <v>90</v>
      </c>
      <c r="G44" s="125">
        <v>525.5</v>
      </c>
      <c r="H44" s="126">
        <v>55.67</v>
      </c>
      <c r="I44" s="126">
        <v>6</v>
      </c>
      <c r="J44" s="127">
        <v>2.11</v>
      </c>
      <c r="L44" s="58">
        <f t="shared" si="18"/>
        <v>-20.166666666666629</v>
      </c>
      <c r="M44" s="59">
        <f t="shared" si="19"/>
        <v>-2.5533333333333275</v>
      </c>
      <c r="N44" s="59">
        <f t="shared" si="20"/>
        <v>-0.55666666666666753</v>
      </c>
      <c r="O44" s="60">
        <f t="shared" si="21"/>
        <v>7.6666666666666661E-2</v>
      </c>
      <c r="P44" s="146"/>
      <c r="Q44" s="147"/>
      <c r="R44" s="148"/>
    </row>
    <row r="45" spans="6:35" x14ac:dyDescent="0.2">
      <c r="F45" s="82" t="s">
        <v>85</v>
      </c>
      <c r="G45" s="119">
        <v>586</v>
      </c>
      <c r="H45" s="120">
        <v>63.33</v>
      </c>
      <c r="I45" s="120">
        <v>7.67</v>
      </c>
      <c r="J45" s="121">
        <v>1.88</v>
      </c>
      <c r="L45" s="55">
        <f t="shared" si="18"/>
        <v>40.333333333333371</v>
      </c>
      <c r="M45" s="32">
        <f t="shared" si="19"/>
        <v>5.1066666666666691</v>
      </c>
      <c r="N45" s="32">
        <f t="shared" si="20"/>
        <v>1.1133333333333324</v>
      </c>
      <c r="O45" s="57">
        <f t="shared" si="21"/>
        <v>-0.15333333333333332</v>
      </c>
      <c r="P45" s="108" t="s">
        <v>114</v>
      </c>
      <c r="Q45" s="65"/>
      <c r="R45" s="109"/>
      <c r="AF45" s="36" t="s">
        <v>133</v>
      </c>
      <c r="AG45" s="32">
        <f>MDETERM(_xlfn.ANCHORARRAY(AF40))</f>
        <v>152084.41380466937</v>
      </c>
    </row>
    <row r="46" spans="6:35" x14ac:dyDescent="0.2">
      <c r="F46" s="83" t="s">
        <v>87</v>
      </c>
      <c r="G46" s="122">
        <v>586</v>
      </c>
      <c r="H46" s="123">
        <v>63.33</v>
      </c>
      <c r="I46" s="123">
        <v>7.67</v>
      </c>
      <c r="J46" s="124">
        <v>1.88</v>
      </c>
      <c r="L46" s="55">
        <f t="shared" si="18"/>
        <v>40.333333333333371</v>
      </c>
      <c r="M46" s="32">
        <f t="shared" si="19"/>
        <v>5.1066666666666691</v>
      </c>
      <c r="N46" s="32">
        <f t="shared" si="20"/>
        <v>1.1133333333333324</v>
      </c>
      <c r="O46" s="57">
        <f t="shared" si="21"/>
        <v>-0.15333333333333332</v>
      </c>
      <c r="P46" s="70"/>
      <c r="Q46" s="66"/>
      <c r="R46" s="149"/>
      <c r="AF46" s="36" t="s">
        <v>134</v>
      </c>
      <c r="AG46" s="32">
        <f>LN(AG45)</f>
        <v>11.932190999654551</v>
      </c>
    </row>
    <row r="47" spans="6:35" x14ac:dyDescent="0.2">
      <c r="F47" s="84" t="s">
        <v>91</v>
      </c>
      <c r="G47" s="125">
        <v>586</v>
      </c>
      <c r="H47" s="126">
        <v>63.33</v>
      </c>
      <c r="I47" s="126">
        <v>7.67</v>
      </c>
      <c r="J47" s="127">
        <v>1.88</v>
      </c>
      <c r="L47" s="58">
        <f t="shared" si="18"/>
        <v>40.333333333333371</v>
      </c>
      <c r="M47" s="59">
        <f t="shared" si="19"/>
        <v>5.1066666666666691</v>
      </c>
      <c r="N47" s="59">
        <f t="shared" si="20"/>
        <v>1.1133333333333324</v>
      </c>
      <c r="O47" s="60">
        <f t="shared" si="21"/>
        <v>-0.15333333333333332</v>
      </c>
      <c r="P47" s="85"/>
      <c r="Q47" s="150"/>
      <c r="R47" s="151"/>
    </row>
    <row r="48" spans="6:35" x14ac:dyDescent="0.2">
      <c r="F48" s="152" t="s">
        <v>115</v>
      </c>
      <c r="G48" s="153">
        <f>AVERAGE(G39:G47)</f>
        <v>545.66666666666663</v>
      </c>
      <c r="H48" s="153">
        <f t="shared" ref="H48:J48" si="22">AVERAGE(H39:H47)</f>
        <v>58.223333333333329</v>
      </c>
      <c r="I48" s="153">
        <f t="shared" si="22"/>
        <v>6.5566666666666675</v>
      </c>
      <c r="J48" s="154">
        <f t="shared" si="22"/>
        <v>2.0333333333333332</v>
      </c>
    </row>
    <row r="49" spans="6:35" x14ac:dyDescent="0.2">
      <c r="AF49" s="182" t="s">
        <v>135</v>
      </c>
      <c r="AG49" s="182"/>
      <c r="AH49" s="182"/>
      <c r="AI49" s="182"/>
    </row>
    <row r="50" spans="6:35" x14ac:dyDescent="0.2">
      <c r="L50" s="137" t="s">
        <v>116</v>
      </c>
      <c r="M50" s="138"/>
      <c r="N50" s="138"/>
      <c r="O50" s="138"/>
      <c r="P50" s="138"/>
      <c r="Q50" s="138"/>
      <c r="R50" s="138"/>
      <c r="S50" s="138"/>
      <c r="T50" s="139"/>
      <c r="AF50" s="183">
        <f>((9-2)*(AG46)) - (((7-1)*(AG23))+((3-1)*(AG35)))</f>
        <v>163.30324181028166</v>
      </c>
      <c r="AG50" s="183"/>
      <c r="AH50" s="183"/>
      <c r="AI50" s="183"/>
    </row>
    <row r="51" spans="6:35" x14ac:dyDescent="0.2">
      <c r="F51" s="168" t="s">
        <v>117</v>
      </c>
      <c r="G51" s="169" cm="1">
        <f t="array" ref="G51:J54">MMULT(_xlfn.ANCHORARRAY(L51),L39:O47)</f>
        <v>7320.5</v>
      </c>
      <c r="H51" s="170">
        <v>926.85999999999956</v>
      </c>
      <c r="I51" s="170">
        <v>202.07</v>
      </c>
      <c r="J51" s="171">
        <v>-27.83</v>
      </c>
      <c r="L51" s="119" cm="1">
        <f t="array" ref="L51:T54">TRANSPOSE(L39:O47)</f>
        <v>-20.166666666666629</v>
      </c>
      <c r="M51" s="120">
        <v>-20.166666666666629</v>
      </c>
      <c r="N51" s="120">
        <v>-20.166666666666629</v>
      </c>
      <c r="O51" s="120">
        <v>-20.166666666666629</v>
      </c>
      <c r="P51" s="120">
        <v>-20.166666666666629</v>
      </c>
      <c r="Q51" s="120">
        <v>-20.166666666666629</v>
      </c>
      <c r="R51" s="120">
        <v>40.333333333333371</v>
      </c>
      <c r="S51" s="120">
        <v>40.333333333333371</v>
      </c>
      <c r="T51" s="121">
        <v>40.333333333333371</v>
      </c>
    </row>
    <row r="52" spans="6:35" x14ac:dyDescent="0.2">
      <c r="F52" s="158"/>
      <c r="G52" s="172">
        <v>926.85999999999956</v>
      </c>
      <c r="H52" s="158">
        <v>117.35119999999989</v>
      </c>
      <c r="I52" s="158">
        <v>25.584399999999988</v>
      </c>
      <c r="J52" s="173">
        <v>-3.5235999999999983</v>
      </c>
      <c r="L52" s="122">
        <v>-2.5533333333333275</v>
      </c>
      <c r="M52" s="123">
        <v>-2.5533333333333275</v>
      </c>
      <c r="N52" s="123">
        <v>-2.5533333333333275</v>
      </c>
      <c r="O52" s="123">
        <v>-2.5533333333333275</v>
      </c>
      <c r="P52" s="123">
        <v>-2.5533333333333275</v>
      </c>
      <c r="Q52" s="123">
        <v>-2.5533333333333275</v>
      </c>
      <c r="R52" s="123">
        <v>5.1066666666666691</v>
      </c>
      <c r="S52" s="123">
        <v>5.1066666666666691</v>
      </c>
      <c r="T52" s="124">
        <v>5.1066666666666691</v>
      </c>
      <c r="AF52" s="36" t="s">
        <v>140</v>
      </c>
      <c r="AG52" s="32">
        <f>0.56*1.43</f>
        <v>0.80080000000000007</v>
      </c>
    </row>
    <row r="53" spans="6:35" x14ac:dyDescent="0.2">
      <c r="F53" s="158"/>
      <c r="G53" s="172">
        <v>202.07</v>
      </c>
      <c r="H53" s="158">
        <v>25.584399999999988</v>
      </c>
      <c r="I53" s="158">
        <v>5.5777999999999999</v>
      </c>
      <c r="J53" s="173">
        <v>-0.76819999999999988</v>
      </c>
      <c r="L53" s="122">
        <v>-0.55666666666666753</v>
      </c>
      <c r="M53" s="123">
        <v>-0.55666666666666753</v>
      </c>
      <c r="N53" s="123">
        <v>-0.55666666666666753</v>
      </c>
      <c r="O53" s="123">
        <v>-0.55666666666666753</v>
      </c>
      <c r="P53" s="123">
        <v>-0.55666666666666753</v>
      </c>
      <c r="Q53" s="123">
        <v>-0.55666666666666753</v>
      </c>
      <c r="R53" s="123">
        <v>1.1133333333333324</v>
      </c>
      <c r="S53" s="123">
        <v>1.1133333333333324</v>
      </c>
      <c r="T53" s="124">
        <v>1.1133333333333324</v>
      </c>
      <c r="AF53" s="36" t="s">
        <v>141</v>
      </c>
      <c r="AG53">
        <f>(0.04+0.25)*3</f>
        <v>0.86999999999999988</v>
      </c>
    </row>
    <row r="54" spans="6:35" x14ac:dyDescent="0.2">
      <c r="F54" s="158"/>
      <c r="G54" s="174">
        <v>-27.83</v>
      </c>
      <c r="H54" s="175">
        <v>-3.5235999999999983</v>
      </c>
      <c r="I54" s="175">
        <v>-0.76819999999999988</v>
      </c>
      <c r="J54" s="176">
        <v>0.10579999999999999</v>
      </c>
      <c r="L54" s="125">
        <v>7.6666666666666661E-2</v>
      </c>
      <c r="M54" s="126">
        <v>7.6666666666666661E-2</v>
      </c>
      <c r="N54" s="126">
        <v>7.6666666666666661E-2</v>
      </c>
      <c r="O54" s="126">
        <v>7.6666666666666661E-2</v>
      </c>
      <c r="P54" s="126">
        <v>7.6666666666666661E-2</v>
      </c>
      <c r="Q54" s="126">
        <v>7.6666666666666661E-2</v>
      </c>
      <c r="R54" s="126">
        <v>-0.15333333333333332</v>
      </c>
      <c r="S54" s="126">
        <v>-0.15333333333333332</v>
      </c>
      <c r="T54" s="127">
        <v>-0.15333333333333332</v>
      </c>
      <c r="AF54" s="36" t="s">
        <v>142</v>
      </c>
      <c r="AG54">
        <v>8.42</v>
      </c>
    </row>
    <row r="55" spans="6:35" x14ac:dyDescent="0.2">
      <c r="F55" s="158"/>
      <c r="G55" s="158"/>
      <c r="H55" s="158"/>
      <c r="I55" s="158"/>
      <c r="J55" s="158"/>
      <c r="AF55" s="36"/>
    </row>
    <row r="56" spans="6:35" x14ac:dyDescent="0.2">
      <c r="F56" s="158"/>
      <c r="G56" s="158"/>
      <c r="H56" s="158"/>
      <c r="I56" s="158"/>
      <c r="J56" s="158"/>
      <c r="AF56" s="36" t="s">
        <v>143</v>
      </c>
      <c r="AG56" s="32">
        <f>AF50/AG54</f>
        <v>19.394684300508512</v>
      </c>
      <c r="AH56" t="s">
        <v>147</v>
      </c>
      <c r="AI56" t="s">
        <v>148</v>
      </c>
    </row>
    <row r="57" spans="6:35" x14ac:dyDescent="0.2">
      <c r="F57" s="177" t="s">
        <v>118</v>
      </c>
      <c r="G57" s="158"/>
      <c r="H57" s="158"/>
      <c r="I57" s="158"/>
      <c r="J57" s="158"/>
      <c r="AF57" s="36" t="s">
        <v>144</v>
      </c>
      <c r="AG57">
        <v>1.71</v>
      </c>
    </row>
    <row r="58" spans="6:35" x14ac:dyDescent="0.2">
      <c r="F58" s="158"/>
      <c r="G58" s="158"/>
      <c r="H58" s="158"/>
      <c r="I58" s="158"/>
      <c r="J58" s="158"/>
    </row>
  </sheetData>
  <mergeCells count="23">
    <mergeCell ref="P45:R47"/>
    <mergeCell ref="L50:T50"/>
    <mergeCell ref="O16:R16"/>
    <mergeCell ref="O28:R28"/>
    <mergeCell ref="AF16:AI16"/>
    <mergeCell ref="AF28:AI28"/>
    <mergeCell ref="AF39:AI39"/>
    <mergeCell ref="AF49:AI49"/>
    <mergeCell ref="AF50:AI50"/>
    <mergeCell ref="K28:N28"/>
    <mergeCell ref="T28:V28"/>
    <mergeCell ref="AA28:AD28"/>
    <mergeCell ref="AA39:AD39"/>
    <mergeCell ref="L38:O38"/>
    <mergeCell ref="P39:R44"/>
    <mergeCell ref="N13:Q13"/>
    <mergeCell ref="G15:J15"/>
    <mergeCell ref="K16:N16"/>
    <mergeCell ref="T16:Y16"/>
    <mergeCell ref="AA16:AD16"/>
    <mergeCell ref="G27:J27"/>
    <mergeCell ref="G1:J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Ki-Kare</vt:lpstr>
      <vt:lpstr>Box-M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Iskandarov</dc:creator>
  <cp:lastModifiedBy>Farid Iskandarov</cp:lastModifiedBy>
  <dcterms:created xsi:type="dcterms:W3CDTF">2024-10-15T17:16:05Z</dcterms:created>
  <dcterms:modified xsi:type="dcterms:W3CDTF">2024-11-01T18:25:39Z</dcterms:modified>
</cp:coreProperties>
</file>