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updateLinks="always"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riverac\Box\Private HDAR Budget\FY2020-2021 Budget\"/>
    </mc:Choice>
  </mc:AlternateContent>
  <bookViews>
    <workbookView xWindow="-105" yWindow="-105" windowWidth="34620" windowHeight="14055" tabRatio="663" activeTab="1"/>
  </bookViews>
  <sheets>
    <sheet name="USF Health Dev Summary " sheetId="27" r:id="rId1"/>
    <sheet name="AVP  Health" sheetId="1" r:id="rId2"/>
    <sheet name="Principal &amp; Major" sheetId="38" r:id="rId3"/>
    <sheet name="Communications" sheetId="39" r:id="rId4"/>
    <sheet name="Community Rel and Philanthropy" sheetId="24" r:id="rId5"/>
    <sheet name="Annual Giving" sheetId="37" r:id="rId6"/>
    <sheet name="COM Alumni " sheetId="21" r:id="rId7"/>
    <sheet name="CON " sheetId="43" r:id="rId8"/>
    <sheet name="COP" sheetId="44" r:id="rId9"/>
    <sheet name="Sponsorships" sheetId="20" state="hidden" r:id="rId10"/>
    <sheet name="Sheet1" sheetId="31" state="hidden" r:id="rId11"/>
  </sheets>
  <externalReferences>
    <externalReference r:id="rId12"/>
    <externalReference r:id="rId13"/>
  </externalReferences>
  <definedNames>
    <definedName name="COP">#REF!</definedName>
    <definedName name="Names">#REF!</definedName>
    <definedName name="_xlnm.Print_Area" localSheetId="5">'Annual Giving'!$A$1:$AQ$44</definedName>
    <definedName name="_xlnm.Print_Area" localSheetId="1">'AVP  Health'!$A$1:$AE$183</definedName>
    <definedName name="_xlnm.Print_Area" localSheetId="6">'COM Alumni '!$A$1:$AE$93</definedName>
    <definedName name="_xlnm.Print_Area" localSheetId="3">Communications!$A$1:$AI$42</definedName>
    <definedName name="_xlnm.Print_Area" localSheetId="4">'Community Rel and Philanthropy'!$A$1:$AG$45</definedName>
    <definedName name="_xlnm.Print_Area" localSheetId="2">'Principal &amp; Major'!$A$1:$W$83</definedName>
    <definedName name="_xlnm.Print_Area" localSheetId="0">'USF Health Dev Summary '!$A$1:$P$17</definedName>
    <definedName name="_xlnm.Print_Titles" localSheetId="6">'COM Alumni '!$A:$A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2" i="21" l="1"/>
  <c r="L67" i="21"/>
  <c r="N59" i="21"/>
  <c r="P53" i="21"/>
  <c r="P59" i="21"/>
  <c r="P61" i="21"/>
  <c r="V53" i="21"/>
  <c r="R55" i="21"/>
  <c r="S55" i="21"/>
  <c r="T55" i="21"/>
  <c r="U55" i="21"/>
  <c r="V55" i="21"/>
  <c r="W55" i="21"/>
  <c r="T59" i="21"/>
  <c r="V59" i="21"/>
  <c r="T53" i="21"/>
  <c r="AO32" i="37"/>
  <c r="AN44" i="37"/>
  <c r="AM14" i="37"/>
  <c r="AL14" i="37"/>
  <c r="U44" i="37"/>
  <c r="AL13" i="37"/>
  <c r="AM13" i="37"/>
  <c r="AL44" i="37"/>
  <c r="T44" i="37"/>
  <c r="S44" i="37"/>
  <c r="R44" i="37"/>
  <c r="AO3" i="37"/>
  <c r="AN3" i="37"/>
  <c r="R3" i="37"/>
  <c r="C24" i="37"/>
  <c r="B64" i="1"/>
  <c r="AF8" i="24" l="1"/>
  <c r="AF10" i="24"/>
  <c r="AF9" i="24"/>
  <c r="V44" i="24"/>
  <c r="AK44" i="24"/>
  <c r="U5" i="24"/>
  <c r="AG9" i="24"/>
  <c r="W5" i="21"/>
  <c r="AO5" i="37"/>
  <c r="AG21" i="39" l="1"/>
  <c r="AG18" i="39"/>
  <c r="AF21" i="39"/>
  <c r="AF18" i="39"/>
  <c r="H42" i="39"/>
  <c r="I42" i="39"/>
  <c r="J35" i="39"/>
  <c r="K35" i="39"/>
  <c r="K36" i="39"/>
  <c r="J37" i="39"/>
  <c r="K37" i="39"/>
  <c r="K42" i="39" s="1"/>
  <c r="J42" i="39"/>
  <c r="W16" i="1" l="1"/>
  <c r="V16" i="1"/>
  <c r="V43" i="44"/>
  <c r="V44" i="44"/>
  <c r="E41" i="44"/>
  <c r="W44" i="44"/>
  <c r="Z41" i="44"/>
  <c r="AA41" i="44"/>
  <c r="B39" i="38" l="1"/>
  <c r="R87" i="38" s="1"/>
  <c r="AK3" i="24"/>
  <c r="AJ3" i="24"/>
  <c r="F44" i="24"/>
  <c r="G44" i="24"/>
  <c r="H44" i="24"/>
  <c r="I44" i="24"/>
  <c r="J44" i="24"/>
  <c r="K44" i="24"/>
  <c r="L44" i="24"/>
  <c r="M44" i="24"/>
  <c r="N44" i="24"/>
  <c r="O44" i="24"/>
  <c r="Q44" i="24"/>
  <c r="R44" i="24"/>
  <c r="T44" i="24"/>
  <c r="X44" i="24"/>
  <c r="Z44" i="24"/>
  <c r="AI44" i="24"/>
  <c r="E44" i="24"/>
  <c r="AB8" i="24"/>
  <c r="AG10" i="24"/>
  <c r="AF11" i="24"/>
  <c r="AG11" i="24"/>
  <c r="AF12" i="24"/>
  <c r="AG12" i="24"/>
  <c r="AG8" i="24"/>
  <c r="AB13" i="24"/>
  <c r="AE14" i="24"/>
  <c r="AD14" i="24"/>
  <c r="AF14" i="24"/>
  <c r="AJ14" i="24"/>
  <c r="AD15" i="24"/>
  <c r="AF16" i="24"/>
  <c r="AB16" i="24"/>
  <c r="AK16" i="24"/>
  <c r="AJ16" i="24"/>
  <c r="AC20" i="24"/>
  <c r="AB20" i="24"/>
  <c r="AK20" i="24"/>
  <c r="AJ20" i="24"/>
  <c r="AC29" i="24"/>
  <c r="AB29" i="24"/>
  <c r="AE30" i="24"/>
  <c r="AD30" i="24"/>
  <c r="AG35" i="24"/>
  <c r="AF35" i="24"/>
  <c r="AC37" i="24"/>
  <c r="AB37" i="24"/>
  <c r="AF37" i="24"/>
  <c r="AJ38" i="24"/>
  <c r="S42" i="24"/>
  <c r="S44" i="24" s="1"/>
  <c r="R42" i="24"/>
  <c r="D44" i="24"/>
  <c r="AA13" i="24"/>
  <c r="AC13" i="24" s="1"/>
  <c r="AA8" i="24"/>
  <c r="U38" i="24"/>
  <c r="AK38" i="24" s="1"/>
  <c r="U14" i="24"/>
  <c r="AK14" i="24" s="1"/>
  <c r="Y37" i="24"/>
  <c r="AG37" i="24" s="1"/>
  <c r="Y16" i="24"/>
  <c r="AG16" i="24" s="1"/>
  <c r="Y14" i="24"/>
  <c r="W29" i="24"/>
  <c r="W16" i="24"/>
  <c r="AC16" i="24" s="1"/>
  <c r="W15" i="24"/>
  <c r="AE15" i="24" s="1"/>
  <c r="W14" i="24"/>
  <c r="W44" i="24" s="1"/>
  <c r="AA44" i="24" l="1"/>
  <c r="AJ44" i="24"/>
  <c r="Y44" i="24"/>
  <c r="AC8" i="24"/>
  <c r="AG14" i="24"/>
  <c r="U44" i="24"/>
  <c r="C24" i="1"/>
  <c r="C30" i="1" l="1"/>
  <c r="T90" i="21" l="1"/>
  <c r="T89" i="21"/>
  <c r="C66" i="1"/>
  <c r="AC68" i="1"/>
  <c r="AB68" i="1"/>
  <c r="C55" i="1" l="1"/>
  <c r="C34" i="38"/>
  <c r="S34" i="38" s="1"/>
  <c r="B34" i="38"/>
  <c r="R34" i="38" s="1"/>
  <c r="I77" i="38"/>
  <c r="S77" i="38" s="1"/>
  <c r="R77" i="38"/>
  <c r="C31" i="1" l="1"/>
  <c r="C69" i="1" l="1"/>
  <c r="Q54" i="38"/>
  <c r="P54" i="38"/>
  <c r="C27" i="1"/>
  <c r="G20" i="39" l="1"/>
  <c r="C65" i="1" l="1"/>
  <c r="AC66" i="1"/>
  <c r="AB66" i="1"/>
  <c r="C21" i="1" l="1"/>
  <c r="C36" i="1"/>
  <c r="B42" i="24"/>
  <c r="AG26" i="24"/>
  <c r="AF26" i="24"/>
  <c r="C20" i="39"/>
  <c r="B44" i="24" l="1"/>
  <c r="C80" i="1"/>
  <c r="AB9" i="37" l="1"/>
  <c r="AJ9" i="37" s="1"/>
  <c r="AJ11" i="37"/>
  <c r="AW8" i="37"/>
  <c r="AV8" i="37"/>
  <c r="AW36" i="37"/>
  <c r="AV36" i="37"/>
  <c r="AW11" i="37"/>
  <c r="AV11" i="37"/>
  <c r="B13" i="37"/>
  <c r="AW44" i="37" l="1"/>
  <c r="AV44" i="37"/>
  <c r="AA50" i="1"/>
  <c r="Z50" i="1"/>
  <c r="J2" i="27" l="1"/>
  <c r="AU22" i="37"/>
  <c r="AU44" i="37" s="1"/>
  <c r="AT22" i="37"/>
  <c r="AT44" i="37" s="1"/>
  <c r="J3" i="27" s="1"/>
  <c r="AP22" i="37"/>
  <c r="V44" i="37"/>
  <c r="AS44" i="37"/>
  <c r="AR26" i="37"/>
  <c r="AR44" i="37" s="1"/>
  <c r="S73" i="21"/>
  <c r="R70" i="21"/>
  <c r="R73" i="21"/>
  <c r="J10" i="27" l="1"/>
  <c r="AQ22" i="37"/>
  <c r="AK26" i="37"/>
  <c r="AQ26" i="37"/>
  <c r="AJ26" i="37"/>
  <c r="W63" i="38" l="1"/>
  <c r="V63" i="38"/>
  <c r="AH25" i="24"/>
  <c r="AH44" i="24" s="1"/>
  <c r="C22" i="38"/>
  <c r="I3" i="27" l="1"/>
  <c r="C25" i="24"/>
  <c r="AC34" i="39"/>
  <c r="AB34" i="39"/>
  <c r="P30" i="24" l="1"/>
  <c r="P29" i="24"/>
  <c r="L24" i="39"/>
  <c r="C62" i="1" l="1"/>
  <c r="AB30" i="24" l="1"/>
  <c r="V12" i="21"/>
  <c r="C91" i="21"/>
  <c r="D91" i="21"/>
  <c r="E91" i="21"/>
  <c r="F91" i="21"/>
  <c r="G91" i="21"/>
  <c r="H91" i="21"/>
  <c r="I91" i="21"/>
  <c r="J91" i="21"/>
  <c r="K91" i="21"/>
  <c r="M91" i="21"/>
  <c r="Q91" i="21"/>
  <c r="X91" i="21"/>
  <c r="Y91" i="21"/>
  <c r="Z91" i="21"/>
  <c r="AA91" i="21"/>
  <c r="D43" i="21"/>
  <c r="E43" i="21"/>
  <c r="F43" i="21"/>
  <c r="G43" i="21"/>
  <c r="H43" i="21"/>
  <c r="I43" i="21"/>
  <c r="J43" i="21"/>
  <c r="K43" i="21"/>
  <c r="L43" i="21"/>
  <c r="M43" i="21"/>
  <c r="N43" i="21"/>
  <c r="O43" i="21"/>
  <c r="Z43" i="21"/>
  <c r="AA43" i="21"/>
  <c r="AB43" i="21"/>
  <c r="AC43" i="21"/>
  <c r="AM42" i="37"/>
  <c r="AL42" i="37"/>
  <c r="AP24" i="37"/>
  <c r="AJ22" i="37"/>
  <c r="AL22" i="37"/>
  <c r="AL19" i="37"/>
  <c r="AJ13" i="37"/>
  <c r="AL7" i="37"/>
  <c r="AJ7" i="37"/>
  <c r="AL6" i="37"/>
  <c r="AJ6" i="37"/>
  <c r="W133" i="1"/>
  <c r="V133" i="1"/>
  <c r="W107" i="1"/>
  <c r="V107" i="1"/>
  <c r="W105" i="1"/>
  <c r="V105" i="1"/>
  <c r="V108" i="1"/>
  <c r="B59" i="21"/>
  <c r="P42" i="24"/>
  <c r="S12" i="21"/>
  <c r="R12" i="21"/>
  <c r="T42" i="21"/>
  <c r="S54" i="21"/>
  <c r="R54" i="21"/>
  <c r="P8" i="21"/>
  <c r="Q8" i="21"/>
  <c r="Q7" i="21"/>
  <c r="P25" i="21"/>
  <c r="AF42" i="24" l="1"/>
  <c r="P44" i="24"/>
  <c r="P52" i="24" s="1"/>
  <c r="O15" i="1"/>
  <c r="O48" i="1"/>
  <c r="V3" i="21"/>
  <c r="B9" i="38"/>
  <c r="L30" i="37" l="1"/>
  <c r="M30" i="37"/>
  <c r="C64" i="1" l="1"/>
  <c r="Z64" i="1"/>
  <c r="P7" i="21" l="1"/>
  <c r="T42" i="39"/>
  <c r="AG32" i="39"/>
  <c r="AG42" i="39" s="1"/>
  <c r="H27" i="27" s="1"/>
  <c r="AF32" i="39"/>
  <c r="AF42" i="39" s="1"/>
  <c r="H10" i="27" s="1"/>
  <c r="G37" i="43" l="1"/>
  <c r="C34" i="1" l="1"/>
  <c r="U39" i="21"/>
  <c r="T39" i="21"/>
  <c r="K7" i="1" l="1"/>
  <c r="AM25" i="37" l="1"/>
  <c r="AL25" i="37"/>
  <c r="D44" i="37" l="1"/>
  <c r="E44" i="37"/>
  <c r="H44" i="37"/>
  <c r="I44" i="37"/>
  <c r="L44" i="37"/>
  <c r="N44" i="37"/>
  <c r="O44" i="37"/>
  <c r="P44" i="37"/>
  <c r="W44" i="37"/>
  <c r="X44" i="37"/>
  <c r="Y44" i="37"/>
  <c r="Z44" i="37"/>
  <c r="AB44" i="37"/>
  <c r="AD44" i="37"/>
  <c r="AF44" i="37"/>
  <c r="AH44" i="37"/>
  <c r="B44" i="37"/>
  <c r="Y3" i="21"/>
  <c r="B91" i="21"/>
  <c r="B43" i="21"/>
  <c r="AJ47" i="37" l="1"/>
  <c r="AK14" i="37"/>
  <c r="AJ14" i="37"/>
  <c r="C41" i="24"/>
  <c r="C15" i="1"/>
  <c r="C60" i="1"/>
  <c r="V58" i="21"/>
  <c r="K10" i="38"/>
  <c r="K12" i="38"/>
  <c r="W4" i="39" l="1"/>
  <c r="AC23" i="24" l="1"/>
  <c r="AB23" i="24"/>
  <c r="AJ39" i="37"/>
  <c r="AK39" i="37"/>
  <c r="AB24" i="43"/>
  <c r="AC24" i="43"/>
  <c r="E10" i="43"/>
  <c r="M4" i="38"/>
  <c r="M19" i="37"/>
  <c r="M44" i="37" s="1"/>
  <c r="S11" i="39"/>
  <c r="AE11" i="39" s="1"/>
  <c r="S4" i="39"/>
  <c r="Y4" i="39"/>
  <c r="W59" i="21" l="1"/>
  <c r="K48" i="38"/>
  <c r="I49" i="38"/>
  <c r="I48" i="38"/>
  <c r="C29" i="1" l="1"/>
  <c r="C40" i="24" l="1"/>
  <c r="G7" i="1"/>
  <c r="I54" i="38"/>
  <c r="I53" i="38"/>
  <c r="M12" i="38" l="1"/>
  <c r="W58" i="21"/>
  <c r="P91" i="21"/>
  <c r="U10" i="44" l="1"/>
  <c r="Y10" i="44" s="1"/>
  <c r="U11" i="44"/>
  <c r="C42" i="24" l="1"/>
  <c r="C44" i="24" l="1"/>
  <c r="Q52" i="24" s="1"/>
  <c r="AG42" i="24"/>
  <c r="U59" i="21"/>
  <c r="AA10" i="43"/>
  <c r="AA11" i="43"/>
  <c r="AA5" i="43"/>
  <c r="AA6" i="43"/>
  <c r="AE44" i="37" l="1"/>
  <c r="AG44" i="37"/>
  <c r="K4" i="38" l="1"/>
  <c r="U4" i="39"/>
  <c r="O4" i="38"/>
  <c r="Y5" i="43"/>
  <c r="M7" i="1" l="1"/>
  <c r="AB40" i="24" l="1"/>
  <c r="AB25" i="24"/>
  <c r="P22" i="21"/>
  <c r="R24" i="21"/>
  <c r="R43" i="21" s="1"/>
  <c r="U25" i="21"/>
  <c r="T25" i="21"/>
  <c r="T10" i="21"/>
  <c r="U10" i="21"/>
  <c r="T13" i="21"/>
  <c r="T11" i="21"/>
  <c r="T8" i="21"/>
  <c r="R85" i="21"/>
  <c r="V67" i="21"/>
  <c r="V61" i="21"/>
  <c r="AB58" i="21"/>
  <c r="T60" i="21"/>
  <c r="T56" i="21"/>
  <c r="V73" i="21"/>
  <c r="U13" i="21"/>
  <c r="T9" i="21"/>
  <c r="U42" i="21"/>
  <c r="U41" i="21"/>
  <c r="R61" i="21"/>
  <c r="V26" i="21"/>
  <c r="P26" i="21"/>
  <c r="T82" i="21"/>
  <c r="L91" i="21"/>
  <c r="U9" i="21"/>
  <c r="X29" i="21"/>
  <c r="W3" i="21"/>
  <c r="AB52" i="21"/>
  <c r="X3" i="21"/>
  <c r="X43" i="21" s="1"/>
  <c r="Z93" i="21" s="1"/>
  <c r="P43" i="21" l="1"/>
  <c r="W67" i="21"/>
  <c r="AE19" i="39" l="1"/>
  <c r="U10" i="39"/>
  <c r="U42" i="39" s="1"/>
  <c r="AD19" i="39"/>
  <c r="T41" i="21"/>
  <c r="T43" i="21" s="1"/>
  <c r="B82" i="38"/>
  <c r="T50" i="38"/>
  <c r="V22" i="38"/>
  <c r="V12" i="38"/>
  <c r="V10" i="38"/>
  <c r="T33" i="38"/>
  <c r="R25" i="38"/>
  <c r="R22" i="38"/>
  <c r="T65" i="38"/>
  <c r="R63" i="38"/>
  <c r="R82" i="38" s="1"/>
  <c r="T76" i="38"/>
  <c r="P68" i="38"/>
  <c r="U65" i="38"/>
  <c r="S22" i="38"/>
  <c r="T5" i="38"/>
  <c r="T4" i="38"/>
  <c r="U4" i="38"/>
  <c r="V4" i="38"/>
  <c r="W4" i="38"/>
  <c r="U20" i="38"/>
  <c r="T20" i="38"/>
  <c r="V33" i="38"/>
  <c r="U48" i="38"/>
  <c r="U76" i="38"/>
  <c r="Y111" i="1"/>
  <c r="AA64" i="1"/>
  <c r="Y60" i="1"/>
  <c r="X60" i="1"/>
  <c r="X27" i="1"/>
  <c r="Z25" i="1"/>
  <c r="Y20" i="1"/>
  <c r="Y7" i="1"/>
  <c r="X7" i="1"/>
  <c r="W173" i="1"/>
  <c r="V173" i="1"/>
  <c r="V112" i="1"/>
  <c r="V110" i="1"/>
  <c r="V106" i="1"/>
  <c r="V104" i="1"/>
  <c r="V101" i="1"/>
  <c r="V86" i="1"/>
  <c r="V61" i="1"/>
  <c r="V54" i="1"/>
  <c r="W31" i="1"/>
  <c r="V31" i="1"/>
  <c r="W26" i="1"/>
  <c r="V26" i="1"/>
  <c r="W13" i="1"/>
  <c r="V13" i="1"/>
  <c r="W10" i="1"/>
  <c r="V10" i="1"/>
  <c r="W8" i="1"/>
  <c r="V8" i="1"/>
  <c r="U116" i="1"/>
  <c r="T116" i="1"/>
  <c r="T112" i="1"/>
  <c r="T109" i="1"/>
  <c r="T104" i="1"/>
  <c r="T59" i="1"/>
  <c r="T56" i="1"/>
  <c r="T50" i="1"/>
  <c r="T49" i="1"/>
  <c r="T48" i="1"/>
  <c r="T42" i="1"/>
  <c r="U39" i="1"/>
  <c r="T39" i="1"/>
  <c r="T34" i="1"/>
  <c r="T30" i="1"/>
  <c r="T28" i="1"/>
  <c r="T24" i="1"/>
  <c r="U11" i="1"/>
  <c r="U17" i="1"/>
  <c r="T17" i="1"/>
  <c r="T12" i="1"/>
  <c r="T15" i="1"/>
  <c r="T11" i="1"/>
  <c r="T9" i="1"/>
  <c r="T7" i="1"/>
  <c r="S65" i="1"/>
  <c r="R69" i="1"/>
  <c r="R65" i="1"/>
  <c r="R62" i="1"/>
  <c r="R58" i="1"/>
  <c r="T43" i="1"/>
  <c r="U28" i="1"/>
  <c r="U12" i="1"/>
  <c r="X111" i="1"/>
  <c r="W110" i="1"/>
  <c r="W101" i="1"/>
  <c r="W112" i="1"/>
  <c r="AC52" i="21"/>
  <c r="U8" i="21"/>
  <c r="U43" i="21" s="1"/>
  <c r="S24" i="21"/>
  <c r="S43" i="21" s="1"/>
  <c r="AC58" i="21"/>
  <c r="X34" i="44"/>
  <c r="X20" i="44"/>
  <c r="X8" i="44"/>
  <c r="X11" i="44"/>
  <c r="X28" i="44"/>
  <c r="AB18" i="43"/>
  <c r="AB20" i="43"/>
  <c r="Y35" i="43"/>
  <c r="E35" i="43"/>
  <c r="T37" i="43"/>
  <c r="AB29" i="43"/>
  <c r="AL24" i="37"/>
  <c r="AJ32" i="37"/>
  <c r="AL23" i="37"/>
  <c r="AN32" i="37"/>
  <c r="AL32" i="37"/>
  <c r="AQ14" i="37"/>
  <c r="AM12" i="37"/>
  <c r="AP38" i="37"/>
  <c r="AP32" i="37"/>
  <c r="AJ30" i="37"/>
  <c r="AK30" i="37"/>
  <c r="AL41" i="37"/>
  <c r="AM24" i="37"/>
  <c r="AP14" i="37"/>
  <c r="AK22" i="37"/>
  <c r="AK12" i="37"/>
  <c r="AJ12" i="37"/>
  <c r="AM7" i="37"/>
  <c r="N39" i="38"/>
  <c r="J82" i="38"/>
  <c r="U10" i="38"/>
  <c r="S25" i="38"/>
  <c r="V38" i="38"/>
  <c r="U53" i="38"/>
  <c r="AC35" i="43" l="1"/>
  <c r="AC91" i="21"/>
  <c r="AC93" i="21" s="1"/>
  <c r="S63" i="38"/>
  <c r="S82" i="38" s="1"/>
  <c r="T54" i="38"/>
  <c r="T53" i="38"/>
  <c r="T51" i="38"/>
  <c r="U49" i="38"/>
  <c r="T49" i="38"/>
  <c r="T48" i="38"/>
  <c r="V6" i="38"/>
  <c r="V5" i="38"/>
  <c r="T10" i="38"/>
  <c r="N82" i="21"/>
  <c r="N91" i="21" s="1"/>
  <c r="W150" i="1"/>
  <c r="U82" i="21" l="1"/>
  <c r="C61" i="1"/>
  <c r="C9" i="38" l="1"/>
  <c r="U21" i="1"/>
  <c r="W9" i="38" l="1"/>
  <c r="AA80" i="1"/>
  <c r="W55" i="1"/>
  <c r="Y11" i="44"/>
  <c r="Y34" i="44"/>
  <c r="Y20" i="44"/>
  <c r="E15" i="44"/>
  <c r="AA15" i="44" s="1"/>
  <c r="Z15" i="44"/>
  <c r="U5" i="44"/>
  <c r="Y5" i="44" s="1"/>
  <c r="AC11" i="43"/>
  <c r="F10" i="43"/>
  <c r="F37" i="43" s="1"/>
  <c r="E18" i="43"/>
  <c r="E20" i="43"/>
  <c r="AC20" i="43" s="1"/>
  <c r="Y10" i="43"/>
  <c r="AC6" i="43"/>
  <c r="AB11" i="43"/>
  <c r="AI44" i="37"/>
  <c r="AC44" i="37"/>
  <c r="AM30" i="37"/>
  <c r="AM19" i="37"/>
  <c r="AM9" i="37"/>
  <c r="AM23" i="37"/>
  <c r="C44" i="37"/>
  <c r="AE24" i="24"/>
  <c r="AC40" i="24"/>
  <c r="AC18" i="24"/>
  <c r="Y36" i="1"/>
  <c r="Y29" i="1"/>
  <c r="Y34" i="1"/>
  <c r="X34" i="1"/>
  <c r="Y127" i="1"/>
  <c r="Y35" i="1"/>
  <c r="Y27" i="1"/>
  <c r="O50" i="1"/>
  <c r="U50" i="1" s="1"/>
  <c r="U48" i="1"/>
  <c r="O34" i="1"/>
  <c r="U34" i="1" s="1"/>
  <c r="U59" i="1"/>
  <c r="U56" i="1"/>
  <c r="C109" i="1"/>
  <c r="U109" i="1" s="1"/>
  <c r="E15" i="1"/>
  <c r="U15" i="1" s="1"/>
  <c r="E49" i="1"/>
  <c r="U49" i="1" s="1"/>
  <c r="U112" i="1"/>
  <c r="O12" i="38"/>
  <c r="O10" i="38"/>
  <c r="C12" i="38"/>
  <c r="U12" i="38"/>
  <c r="K54" i="38"/>
  <c r="U5" i="38"/>
  <c r="AA44" i="37" l="1"/>
  <c r="W12" i="38"/>
  <c r="O39" i="38"/>
  <c r="Q44" i="37"/>
  <c r="AC10" i="43"/>
  <c r="AC18" i="43"/>
  <c r="E37" i="43"/>
  <c r="AC25" i="24"/>
  <c r="AC44" i="24" s="1"/>
  <c r="U54" i="38"/>
  <c r="K82" i="38"/>
  <c r="W10" i="38"/>
  <c r="AM15" i="37"/>
  <c r="AK13" i="37"/>
  <c r="AQ24" i="37"/>
  <c r="AK6" i="37"/>
  <c r="W53" i="21"/>
  <c r="AC5" i="43"/>
  <c r="AM6" i="37"/>
  <c r="AK47" i="37" l="1"/>
  <c r="AC35" i="39"/>
  <c r="AC42" i="39" s="1"/>
  <c r="H21" i="27" s="1"/>
  <c r="AB35" i="39"/>
  <c r="AB42" i="39" s="1"/>
  <c r="H3" i="27" s="1"/>
  <c r="X32" i="39"/>
  <c r="AH32" i="39" s="1"/>
  <c r="Y32" i="39"/>
  <c r="AI32" i="39" s="1"/>
  <c r="C68" i="38"/>
  <c r="P82" i="38"/>
  <c r="W22" i="38" l="1"/>
  <c r="G2" i="27"/>
  <c r="P83" i="38"/>
  <c r="Q68" i="38"/>
  <c r="Q82" i="38" s="1"/>
  <c r="C82" i="38"/>
  <c r="AF29" i="24"/>
  <c r="AF44" i="24" s="1"/>
  <c r="AP36" i="37"/>
  <c r="AP44" i="37" s="1"/>
  <c r="AL30" i="37"/>
  <c r="AL12" i="37"/>
  <c r="AL15" i="37"/>
  <c r="AD24" i="24"/>
  <c r="AD41" i="24"/>
  <c r="AD37" i="39"/>
  <c r="Z34" i="39"/>
  <c r="AD31" i="39"/>
  <c r="Z26" i="39"/>
  <c r="Z25" i="39"/>
  <c r="Z24" i="39"/>
  <c r="Z20" i="39"/>
  <c r="AD4" i="39"/>
  <c r="V142" i="1"/>
  <c r="W104" i="1"/>
  <c r="AD44" i="24" l="1"/>
  <c r="Q83" i="38"/>
  <c r="G20" i="27"/>
  <c r="V9" i="38" l="1"/>
  <c r="N90" i="1"/>
  <c r="B53" i="1" l="1"/>
  <c r="V53" i="1" s="1"/>
  <c r="AD11" i="39" l="1"/>
  <c r="AD10" i="39"/>
  <c r="B42" i="39"/>
  <c r="AE31" i="39"/>
  <c r="AH7" i="39"/>
  <c r="AH36" i="39"/>
  <c r="AI7" i="39"/>
  <c r="AL38" i="37" l="1"/>
  <c r="AJ41" i="37"/>
  <c r="AJ35" i="37"/>
  <c r="AL9" i="37"/>
  <c r="AL11" i="37"/>
  <c r="AJ19" i="37"/>
  <c r="AK7" i="37"/>
  <c r="AJ38" i="37"/>
  <c r="AM41" i="37"/>
  <c r="AM38" i="37"/>
  <c r="H82" i="38"/>
  <c r="F82" i="38"/>
  <c r="J39" i="38"/>
  <c r="I39" i="38"/>
  <c r="V32" i="38"/>
  <c r="R37" i="38"/>
  <c r="U51" i="21" l="1"/>
  <c r="T51" i="21"/>
  <c r="C43" i="21" l="1"/>
  <c r="AN31" i="37"/>
  <c r="AK15" i="37"/>
  <c r="AK35" i="37"/>
  <c r="AK32" i="37"/>
  <c r="AK9" i="37"/>
  <c r="T12" i="38"/>
  <c r="V82" i="38"/>
  <c r="W82" i="38"/>
  <c r="V19" i="38"/>
  <c r="V7" i="38"/>
  <c r="AH42" i="39"/>
  <c r="V42" i="39"/>
  <c r="L42" i="39"/>
  <c r="AD21" i="39"/>
  <c r="X36" i="1"/>
  <c r="X29" i="1"/>
  <c r="X110" i="1"/>
  <c r="AA34" i="39"/>
  <c r="AB18" i="24"/>
  <c r="AB44" i="24" s="1"/>
  <c r="AE41" i="24"/>
  <c r="AE44" i="24" s="1"/>
  <c r="AO44" i="37" l="1"/>
  <c r="H2" i="27"/>
  <c r="W12" i="21"/>
  <c r="W42" i="39" l="1"/>
  <c r="AI36" i="39"/>
  <c r="I50" i="38"/>
  <c r="C38" i="38"/>
  <c r="O30" i="1"/>
  <c r="U30" i="1" s="1"/>
  <c r="O43" i="1"/>
  <c r="U43" i="1" s="1"/>
  <c r="W61" i="1"/>
  <c r="V100" i="1"/>
  <c r="S69" i="1"/>
  <c r="C58" i="1"/>
  <c r="S58" i="1" s="1"/>
  <c r="AA90" i="1"/>
  <c r="X127" i="1"/>
  <c r="X20" i="1"/>
  <c r="Y110" i="1"/>
  <c r="U24" i="1"/>
  <c r="E7" i="1"/>
  <c r="U7" i="1" s="1"/>
  <c r="E9" i="1"/>
  <c r="U9" i="1" s="1"/>
  <c r="T126" i="1"/>
  <c r="U126" i="1"/>
  <c r="X104" i="1"/>
  <c r="G42" i="1"/>
  <c r="U42" i="1" s="1"/>
  <c r="W38" i="38" l="1"/>
  <c r="C39" i="38"/>
  <c r="U50" i="38"/>
  <c r="I82" i="38"/>
  <c r="K39" i="38"/>
  <c r="O90" i="1"/>
  <c r="AE37" i="39"/>
  <c r="AE4" i="39"/>
  <c r="AA20" i="39"/>
  <c r="C42" i="39"/>
  <c r="AI42" i="39"/>
  <c r="AE44" i="21" l="1"/>
  <c r="V30" i="21" l="1"/>
  <c r="Q22" i="21"/>
  <c r="Q43" i="21" s="1"/>
  <c r="B182" i="1" l="1"/>
  <c r="Z19" i="1"/>
  <c r="T21" i="1" l="1"/>
  <c r="V55" i="1"/>
  <c r="D79" i="27" l="1"/>
  <c r="D77" i="27"/>
  <c r="AJ31" i="37" l="1"/>
  <c r="D55" i="27"/>
  <c r="D56" i="27"/>
  <c r="D57" i="27"/>
  <c r="B80" i="1"/>
  <c r="D62" i="27" s="1"/>
  <c r="D65" i="27" s="1"/>
  <c r="D95" i="27" s="1"/>
  <c r="V150" i="1" l="1"/>
  <c r="T52" i="38" l="1"/>
  <c r="T82" i="38" s="1"/>
  <c r="U33" i="38"/>
  <c r="U73" i="21" l="1"/>
  <c r="AQ32" i="37"/>
  <c r="W19" i="38"/>
  <c r="AM22" i="37" l="1"/>
  <c r="AM44" i="37" s="1"/>
  <c r="AJ15" i="37" l="1"/>
  <c r="T35" i="1"/>
  <c r="T6" i="38"/>
  <c r="T7" i="38"/>
  <c r="V8" i="38"/>
  <c r="V39" i="38" s="1"/>
  <c r="T8" i="38"/>
  <c r="R39" i="38"/>
  <c r="R83" i="38" s="1"/>
  <c r="W33" i="38"/>
  <c r="W39" i="38" s="1"/>
  <c r="W83" i="38" s="1"/>
  <c r="T40" i="1"/>
  <c r="X108" i="1"/>
  <c r="C7" i="27"/>
  <c r="V83" i="38" l="1"/>
  <c r="G5" i="27" s="1"/>
  <c r="G7" i="27"/>
  <c r="AJ44" i="37"/>
  <c r="AJ46" i="37" s="1"/>
  <c r="AJ48" i="37" s="1"/>
  <c r="Y30" i="44"/>
  <c r="Y28" i="44"/>
  <c r="Y23" i="44"/>
  <c r="Y9" i="44"/>
  <c r="Y8" i="44"/>
  <c r="Y7" i="44"/>
  <c r="Y6" i="44"/>
  <c r="X9" i="44"/>
  <c r="W41" i="44"/>
  <c r="V41" i="44"/>
  <c r="U41" i="44"/>
  <c r="T41" i="44"/>
  <c r="S41" i="44"/>
  <c r="R41" i="44"/>
  <c r="Q41" i="44"/>
  <c r="P41" i="44"/>
  <c r="O41" i="44"/>
  <c r="M41" i="44"/>
  <c r="L41" i="44"/>
  <c r="K41" i="44"/>
  <c r="J41" i="44"/>
  <c r="I41" i="44"/>
  <c r="H41" i="44"/>
  <c r="G41" i="44"/>
  <c r="F41" i="44"/>
  <c r="D41" i="44"/>
  <c r="C41" i="44"/>
  <c r="B41" i="44"/>
  <c r="A33" i="44"/>
  <c r="A32" i="44"/>
  <c r="X30" i="44"/>
  <c r="X23" i="44"/>
  <c r="N10" i="44"/>
  <c r="X7" i="44"/>
  <c r="X6" i="44"/>
  <c r="X5" i="44"/>
  <c r="N41" i="44" l="1"/>
  <c r="X10" i="44"/>
  <c r="X41" i="44" s="1"/>
  <c r="Y41" i="44"/>
  <c r="W43" i="44"/>
  <c r="W46" i="44" l="1"/>
  <c r="V46" i="44"/>
  <c r="P53" i="24"/>
  <c r="AG29" i="24"/>
  <c r="AG44" i="24" s="1"/>
  <c r="Q53" i="24" s="1"/>
  <c r="F39" i="38"/>
  <c r="S37" i="38"/>
  <c r="S39" i="38" s="1"/>
  <c r="S83" i="38" s="1"/>
  <c r="T39" i="38"/>
  <c r="T83" i="38" s="1"/>
  <c r="R86" i="38" s="1"/>
  <c r="U8" i="38"/>
  <c r="U7" i="38"/>
  <c r="U6" i="38"/>
  <c r="U39" i="38" l="1"/>
  <c r="M12" i="27"/>
  <c r="D42" i="39" l="1"/>
  <c r="E42" i="39"/>
  <c r="O42" i="39"/>
  <c r="P42" i="39"/>
  <c r="Q42" i="39"/>
  <c r="N42" i="39"/>
  <c r="AA26" i="39"/>
  <c r="AA25" i="39"/>
  <c r="AA24" i="39"/>
  <c r="AE21" i="39"/>
  <c r="AA18" i="39"/>
  <c r="AE10" i="39"/>
  <c r="AE9" i="39"/>
  <c r="AE6" i="39"/>
  <c r="AE5" i="39"/>
  <c r="Z18" i="39"/>
  <c r="Z42" i="39" s="1"/>
  <c r="AD9" i="39"/>
  <c r="AD6" i="39"/>
  <c r="AD5" i="39"/>
  <c r="AA42" i="39" l="1"/>
  <c r="AD42" i="39"/>
  <c r="W45" i="39" s="1"/>
  <c r="AE42" i="39"/>
  <c r="G16" i="27"/>
  <c r="H16" i="27"/>
  <c r="I16" i="27"/>
  <c r="J16" i="27"/>
  <c r="M16" i="27"/>
  <c r="X45" i="39" l="1"/>
  <c r="W163" i="1"/>
  <c r="W149" i="1"/>
  <c r="W182" i="1" s="1"/>
  <c r="V149" i="1"/>
  <c r="C182" i="1" l="1"/>
  <c r="D182" i="1"/>
  <c r="E182" i="1"/>
  <c r="G182" i="1"/>
  <c r="T182" i="1"/>
  <c r="Z182" i="1"/>
  <c r="AA182" i="1"/>
  <c r="AA183" i="1" s="1"/>
  <c r="AB182" i="1"/>
  <c r="AC182" i="1"/>
  <c r="D90" i="1"/>
  <c r="E90" i="1"/>
  <c r="F90" i="1"/>
  <c r="G90" i="1"/>
  <c r="H90" i="1"/>
  <c r="I90" i="1"/>
  <c r="J90" i="1"/>
  <c r="K90" i="1"/>
  <c r="L90" i="1"/>
  <c r="M90" i="1"/>
  <c r="P90" i="1"/>
  <c r="Q90" i="1"/>
  <c r="X107" i="1"/>
  <c r="D16" i="27"/>
  <c r="N4" i="27"/>
  <c r="N6" i="27"/>
  <c r="N12" i="27"/>
  <c r="N13" i="27"/>
  <c r="N14" i="27"/>
  <c r="N15" i="27"/>
  <c r="V51" i="21" l="1"/>
  <c r="V91" i="21" s="1"/>
  <c r="V93" i="21" s="1"/>
  <c r="AB60" i="21"/>
  <c r="AB91" i="21" s="1"/>
  <c r="AB93" i="21" s="1"/>
  <c r="K5" i="27" s="1"/>
  <c r="T76" i="21"/>
  <c r="R63" i="21"/>
  <c r="Z92" i="21"/>
  <c r="Y108" i="1" l="1"/>
  <c r="U182" i="1"/>
  <c r="Y104" i="1" l="1"/>
  <c r="S182" i="1"/>
  <c r="Y112" i="1"/>
  <c r="Y107" i="1"/>
  <c r="Y106" i="1"/>
  <c r="Y105" i="1"/>
  <c r="X106" i="1"/>
  <c r="V182" i="1"/>
  <c r="Y182" i="1" l="1"/>
  <c r="G39" i="38"/>
  <c r="AA37" i="43"/>
  <c r="Z37" i="43"/>
  <c r="Y37" i="43"/>
  <c r="W37" i="43"/>
  <c r="U37" i="43"/>
  <c r="S37" i="43"/>
  <c r="R37" i="43"/>
  <c r="Q37" i="43"/>
  <c r="P37" i="43"/>
  <c r="O37" i="43"/>
  <c r="N37" i="43"/>
  <c r="M37" i="43"/>
  <c r="L37" i="43"/>
  <c r="K37" i="43"/>
  <c r="J37" i="43"/>
  <c r="H37" i="43"/>
  <c r="C37" i="43"/>
  <c r="B37" i="43"/>
  <c r="X35" i="43"/>
  <c r="X37" i="43" s="1"/>
  <c r="V35" i="43"/>
  <c r="A34" i="43"/>
  <c r="A33" i="43"/>
  <c r="I10" i="43"/>
  <c r="D10" i="43"/>
  <c r="AB9" i="43"/>
  <c r="AC8" i="43"/>
  <c r="AC37" i="43" s="1"/>
  <c r="AB8" i="43"/>
  <c r="AB7" i="43"/>
  <c r="AB6" i="43"/>
  <c r="AB5" i="43"/>
  <c r="V37" i="43" l="1"/>
  <c r="AB35" i="43"/>
  <c r="D37" i="43"/>
  <c r="AB10" i="43"/>
  <c r="I37" i="43"/>
  <c r="AB38" i="43" l="1"/>
  <c r="AB37" i="43"/>
  <c r="L11" i="27" s="1"/>
  <c r="AB39" i="43" l="1"/>
  <c r="AB41" i="43" s="1"/>
  <c r="O82" i="38"/>
  <c r="N82" i="38"/>
  <c r="M82" i="38"/>
  <c r="L82" i="38"/>
  <c r="G82" i="38"/>
  <c r="E82" i="38"/>
  <c r="D82" i="38"/>
  <c r="A80" i="38"/>
  <c r="A79" i="38"/>
  <c r="U52" i="38"/>
  <c r="U51" i="38"/>
  <c r="U82" i="38" s="1"/>
  <c r="U83" i="38" s="1"/>
  <c r="S86" i="38" s="1"/>
  <c r="V31" i="21" l="1"/>
  <c r="V43" i="21" s="1"/>
  <c r="X93" i="21" s="1"/>
  <c r="S85" i="21"/>
  <c r="W73" i="21"/>
  <c r="U56" i="21"/>
  <c r="U60" i="21"/>
  <c r="U54" i="21"/>
  <c r="U91" i="21" s="1"/>
  <c r="U93" i="21" s="1"/>
  <c r="S64" i="21"/>
  <c r="S63" i="21"/>
  <c r="W61" i="21"/>
  <c r="S57" i="21"/>
  <c r="R57" i="21"/>
  <c r="T54" i="21"/>
  <c r="T91" i="21" s="1"/>
  <c r="T93" i="21" s="1"/>
  <c r="W26" i="21"/>
  <c r="W43" i="21" s="1"/>
  <c r="Y93" i="21" s="1"/>
  <c r="Y29" i="21"/>
  <c r="Y43" i="21" s="1"/>
  <c r="AA93" i="21" s="1"/>
  <c r="S91" i="21" l="1"/>
  <c r="S93" i="21" s="1"/>
  <c r="G8" i="27" l="1"/>
  <c r="K8" i="27"/>
  <c r="Y9" i="1" l="1"/>
  <c r="X105" i="1" l="1"/>
  <c r="W40" i="1" l="1"/>
  <c r="V40" i="1"/>
  <c r="W54" i="1" l="1"/>
  <c r="C2" i="27" l="1"/>
  <c r="R70" i="1"/>
  <c r="Y43" i="1" l="1"/>
  <c r="X43" i="1"/>
  <c r="AQ38" i="37"/>
  <c r="AQ44" i="37" s="1"/>
  <c r="O64" i="21"/>
  <c r="O91" i="21" s="1"/>
  <c r="R64" i="21" l="1"/>
  <c r="R91" i="21" s="1"/>
  <c r="R93" i="21" s="1"/>
  <c r="Y17" i="1"/>
  <c r="Y14" i="1"/>
  <c r="Y12" i="1"/>
  <c r="Y11" i="1"/>
  <c r="AK41" i="37"/>
  <c r="N102" i="21" l="1"/>
  <c r="K10" i="27" l="1"/>
  <c r="K7" i="27"/>
  <c r="X112" i="1"/>
  <c r="X182" i="1" l="1"/>
  <c r="A87" i="21" l="1"/>
  <c r="T14" i="1"/>
  <c r="R182" i="1" l="1"/>
  <c r="F182" i="1"/>
  <c r="C27" i="27" l="1"/>
  <c r="B27" i="27"/>
  <c r="N22" i="27"/>
  <c r="N28" i="27"/>
  <c r="N31" i="27"/>
  <c r="N32" i="27"/>
  <c r="N33" i="27"/>
  <c r="C25" i="27"/>
  <c r="C24" i="27"/>
  <c r="C23" i="27"/>
  <c r="C21" i="27"/>
  <c r="C20" i="27"/>
  <c r="L26" i="27"/>
  <c r="M26" i="27"/>
  <c r="B25" i="27"/>
  <c r="B24" i="27"/>
  <c r="B23" i="27"/>
  <c r="B21" i="27"/>
  <c r="B20" i="27"/>
  <c r="B26" i="27" l="1"/>
  <c r="C26" i="27"/>
  <c r="AA92" i="21" l="1"/>
  <c r="I24" i="27" l="1"/>
  <c r="I7" i="27" l="1"/>
  <c r="AK19" i="37" l="1"/>
  <c r="J7" i="27" l="1"/>
  <c r="J24" i="27" l="1"/>
  <c r="C44" i="21" l="1"/>
  <c r="S42" i="39" l="1"/>
  <c r="R42" i="39"/>
  <c r="W5" i="1" l="1"/>
  <c r="W51" i="21" l="1"/>
  <c r="W91" i="21" s="1"/>
  <c r="W93" i="21" s="1"/>
  <c r="O102" i="21" l="1"/>
  <c r="M30" i="27"/>
  <c r="N30" i="27" s="1"/>
  <c r="AC81" i="1" l="1"/>
  <c r="AC90" i="1" s="1"/>
  <c r="AB81" i="1"/>
  <c r="AB90" i="1" s="1"/>
  <c r="F10" i="27" l="1"/>
  <c r="AB183" i="1"/>
  <c r="F27" i="27"/>
  <c r="AC183" i="1"/>
  <c r="X35" i="1"/>
  <c r="I23" i="27" l="1"/>
  <c r="G23" i="27" l="1"/>
  <c r="B30" i="27" l="1"/>
  <c r="B29" i="27"/>
  <c r="V5" i="1"/>
  <c r="L16" i="27" l="1"/>
  <c r="N11" i="27"/>
  <c r="N29" i="27"/>
  <c r="Z80" i="1" l="1"/>
  <c r="Z90" i="1" s="1"/>
  <c r="Y56" i="1"/>
  <c r="X56" i="1"/>
  <c r="Z183" i="1" l="1"/>
  <c r="F3" i="27" s="1"/>
  <c r="J25" i="27"/>
  <c r="B90" i="1"/>
  <c r="P195" i="1" s="1"/>
  <c r="B183" i="1" l="1"/>
  <c r="V51" i="1"/>
  <c r="S75" i="1" l="1"/>
  <c r="R75" i="1"/>
  <c r="S63" i="1"/>
  <c r="R63" i="1"/>
  <c r="AK11" i="37"/>
  <c r="AK44" i="37" s="1"/>
  <c r="AK46" i="37" s="1"/>
  <c r="K24" i="27"/>
  <c r="W51" i="1" l="1"/>
  <c r="U47" i="1"/>
  <c r="T47" i="1"/>
  <c r="T90" i="1" s="1"/>
  <c r="V90" i="1"/>
  <c r="R90" i="1"/>
  <c r="R183" i="1" s="1"/>
  <c r="S62" i="1"/>
  <c r="S90" i="1" s="1"/>
  <c r="W53" i="1"/>
  <c r="Y90" i="1"/>
  <c r="X42" i="39"/>
  <c r="S74" i="1"/>
  <c r="U90" i="1" l="1"/>
  <c r="U183" i="1" s="1"/>
  <c r="F2" i="27"/>
  <c r="W90" i="1"/>
  <c r="W183" i="1" s="1"/>
  <c r="X90" i="1"/>
  <c r="X183" i="1" s="1"/>
  <c r="F8" i="27" s="1"/>
  <c r="T183" i="1"/>
  <c r="F21" i="27"/>
  <c r="N21" i="27" s="1"/>
  <c r="H7" i="27"/>
  <c r="H25" i="27"/>
  <c r="G25" i="27"/>
  <c r="N3" i="27"/>
  <c r="V183" i="1"/>
  <c r="L39" i="38"/>
  <c r="M39" i="38"/>
  <c r="P194" i="1" l="1"/>
  <c r="P196" i="1" s="1"/>
  <c r="F5" i="27"/>
  <c r="H24" i="27"/>
  <c r="H26" i="27" s="1"/>
  <c r="F7" i="27"/>
  <c r="N7" i="27" s="1"/>
  <c r="F25" i="27"/>
  <c r="Y183" i="1"/>
  <c r="F23" i="27"/>
  <c r="N2" i="27"/>
  <c r="F24" i="27"/>
  <c r="G24" i="27"/>
  <c r="G26" i="27" s="1"/>
  <c r="J5" i="27"/>
  <c r="H8" i="27"/>
  <c r="Y42" i="39"/>
  <c r="M42" i="39"/>
  <c r="G42" i="39"/>
  <c r="X44" i="39" s="1"/>
  <c r="F42" i="39"/>
  <c r="W44" i="39" s="1"/>
  <c r="W46" i="39" s="1"/>
  <c r="A39" i="39"/>
  <c r="A38" i="39"/>
  <c r="X46" i="39" l="1"/>
  <c r="N24" i="27"/>
  <c r="Q55" i="24" l="1"/>
  <c r="I25" i="27"/>
  <c r="I26" i="27" s="1"/>
  <c r="I8" i="27"/>
  <c r="P55" i="24" l="1"/>
  <c r="A40" i="37"/>
  <c r="A41" i="37"/>
  <c r="A40" i="21"/>
  <c r="A39" i="24"/>
  <c r="A37" i="38"/>
  <c r="A36" i="38"/>
  <c r="D39" i="38"/>
  <c r="I5" i="27" l="1"/>
  <c r="N5" i="27" s="1"/>
  <c r="B28" i="27" l="1"/>
  <c r="E39" i="38" l="1"/>
  <c r="S87" i="38" s="1"/>
  <c r="S88" i="38" s="1"/>
  <c r="H39" i="38"/>
  <c r="J34" i="27"/>
  <c r="G34" i="27"/>
  <c r="H34" i="27"/>
  <c r="I34" i="27"/>
  <c r="AN27" i="31"/>
  <c r="AM27" i="31"/>
  <c r="AL27" i="31"/>
  <c r="AK27" i="31"/>
  <c r="AJ27" i="31"/>
  <c r="AI27" i="31"/>
  <c r="AH27" i="31"/>
  <c r="AG27" i="31"/>
  <c r="AF27" i="31"/>
  <c r="AE27" i="31"/>
  <c r="AQ24" i="31"/>
  <c r="AQ23" i="31"/>
  <c r="AP23" i="31"/>
  <c r="AQ22" i="31"/>
  <c r="AP21" i="31"/>
  <c r="AQ20" i="31"/>
  <c r="AP20" i="31"/>
  <c r="AQ19" i="31"/>
  <c r="AP18" i="31"/>
  <c r="AQ17" i="31"/>
  <c r="AP17" i="31"/>
  <c r="AP16" i="31"/>
  <c r="AQ15" i="31"/>
  <c r="AQ13" i="31"/>
  <c r="AO12" i="31"/>
  <c r="AO27" i="31" s="1"/>
  <c r="AO30" i="31" s="1"/>
  <c r="AQ11" i="31"/>
  <c r="AQ10" i="31"/>
  <c r="AP10" i="31"/>
  <c r="AQ8" i="31"/>
  <c r="AQ6" i="31"/>
  <c r="AQ5" i="31"/>
  <c r="AQ4" i="31"/>
  <c r="Y23" i="31"/>
  <c r="X23" i="31"/>
  <c r="W23" i="31"/>
  <c r="V23" i="31"/>
  <c r="U23" i="31"/>
  <c r="T23" i="31"/>
  <c r="S23" i="31"/>
  <c r="R23" i="31"/>
  <c r="Q23" i="31"/>
  <c r="P23" i="31"/>
  <c r="O23" i="31"/>
  <c r="AB19" i="31"/>
  <c r="AA19" i="31"/>
  <c r="AA18" i="31"/>
  <c r="AB16" i="31"/>
  <c r="AA16" i="31"/>
  <c r="AA4" i="31"/>
  <c r="AA5" i="31"/>
  <c r="AA6" i="31"/>
  <c r="AA7" i="31"/>
  <c r="AA8" i="31"/>
  <c r="AA10" i="31"/>
  <c r="AA11" i="31"/>
  <c r="AA14" i="31"/>
  <c r="AA15" i="31"/>
  <c r="AB10" i="31"/>
  <c r="Z9" i="31"/>
  <c r="Z23" i="31" s="1"/>
  <c r="AB8" i="31"/>
  <c r="AB7" i="31"/>
  <c r="AB6" i="31"/>
  <c r="AB5" i="31"/>
  <c r="AB4" i="31"/>
  <c r="I34" i="31"/>
  <c r="H34" i="31"/>
  <c r="G34" i="31"/>
  <c r="F34" i="31"/>
  <c r="E34" i="31"/>
  <c r="D34" i="31"/>
  <c r="C34" i="31"/>
  <c r="B34" i="31"/>
  <c r="L33" i="31"/>
  <c r="K32" i="31"/>
  <c r="M30" i="31"/>
  <c r="M35" i="31" s="1"/>
  <c r="K28" i="31"/>
  <c r="J26" i="31"/>
  <c r="J25" i="31"/>
  <c r="L24" i="31"/>
  <c r="L23" i="31"/>
  <c r="K23" i="31"/>
  <c r="L22" i="31"/>
  <c r="L21" i="31"/>
  <c r="L20" i="31"/>
  <c r="K19" i="31"/>
  <c r="K18" i="31"/>
  <c r="K17" i="31"/>
  <c r="J16" i="31"/>
  <c r="J15" i="31"/>
  <c r="K13" i="31"/>
  <c r="J13" i="31"/>
  <c r="L12" i="31"/>
  <c r="K11" i="31"/>
  <c r="K10" i="31"/>
  <c r="L8" i="31"/>
  <c r="K8" i="31"/>
  <c r="K7" i="31"/>
  <c r="K6" i="31"/>
  <c r="L5" i="31"/>
  <c r="F26" i="20"/>
  <c r="F40" i="20" s="1"/>
  <c r="F43" i="20" s="1"/>
  <c r="E26" i="20"/>
  <c r="E40" i="20" s="1"/>
  <c r="E43" i="20" s="1"/>
  <c r="R88" i="38" l="1"/>
  <c r="AK48" i="37"/>
  <c r="Y25" i="31"/>
  <c r="AP27" i="31"/>
  <c r="AP30" i="31" s="1"/>
  <c r="AQ27" i="31"/>
  <c r="AQ30" i="31" s="1"/>
  <c r="K34" i="31"/>
  <c r="L35" i="31"/>
  <c r="AK30" i="31"/>
  <c r="J35" i="31"/>
  <c r="AB23" i="31"/>
  <c r="F16" i="27"/>
  <c r="AA23" i="31"/>
  <c r="AL30" i="31" l="1"/>
  <c r="AC32" i="31"/>
  <c r="K25" i="27"/>
  <c r="K26" i="27" s="1"/>
  <c r="K27" i="27"/>
  <c r="N27" i="27" s="1"/>
  <c r="J23" i="27"/>
  <c r="J8" i="27"/>
  <c r="N8" i="27" s="1"/>
  <c r="K9" i="27"/>
  <c r="H9" i="27"/>
  <c r="H17" i="27" s="1"/>
  <c r="K34" i="27"/>
  <c r="Z25" i="31"/>
  <c r="I9" i="27"/>
  <c r="I17" i="27" s="1"/>
  <c r="G35" i="27"/>
  <c r="H35" i="27"/>
  <c r="I35" i="27"/>
  <c r="M34" i="27"/>
  <c r="M35" i="27" s="1"/>
  <c r="F9" i="27"/>
  <c r="L34" i="27"/>
  <c r="D8" i="27" l="1"/>
  <c r="P8" i="27"/>
  <c r="K16" i="27"/>
  <c r="N16" i="27" s="1"/>
  <c r="N10" i="27"/>
  <c r="F17" i="27"/>
  <c r="N25" i="27"/>
  <c r="J26" i="27"/>
  <c r="N23" i="27"/>
  <c r="J9" i="27"/>
  <c r="J17" i="27" s="1"/>
  <c r="M17" i="27"/>
  <c r="G9" i="27"/>
  <c r="G17" i="27" s="1"/>
  <c r="L35" i="27"/>
  <c r="K35" i="27"/>
  <c r="K17" i="27" l="1"/>
  <c r="N9" i="27"/>
  <c r="J35" i="27"/>
  <c r="L17" i="27"/>
  <c r="D7" i="27" l="1"/>
  <c r="N17" i="27"/>
  <c r="F34" i="27"/>
  <c r="D9" i="27" l="1"/>
  <c r="N34" i="27"/>
  <c r="D17" i="27" l="1"/>
  <c r="C90" i="1"/>
  <c r="R195" i="1" s="1"/>
  <c r="S183" i="1" l="1"/>
  <c r="R194" i="1" s="1"/>
  <c r="R196" i="1" s="1"/>
  <c r="F20" i="27"/>
  <c r="N20" i="27" s="1"/>
  <c r="F26" i="27" l="1"/>
  <c r="N26" i="27" s="1"/>
  <c r="F35" i="27" l="1"/>
  <c r="N35" i="27" s="1"/>
  <c r="N103" i="21" l="1"/>
  <c r="N104" i="21" s="1"/>
  <c r="O103" i="21"/>
  <c r="O104" i="21" s="1"/>
</calcChain>
</file>

<file path=xl/comments1.xml><?xml version="1.0" encoding="utf-8"?>
<comments xmlns="http://schemas.openxmlformats.org/spreadsheetml/2006/main">
  <authors>
    <author>Shirley, Patricia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Shirley, Patricia:</t>
        </r>
        <r>
          <rPr>
            <sz val="9"/>
            <color indexed="81"/>
            <rFont val="Tahoma"/>
            <family val="2"/>
          </rPr>
          <t xml:space="preserve">
Revised based on Reforecast </t>
        </r>
      </text>
    </comment>
    <comment ref="C7" authorId="0" shapeId="0">
      <text>
        <r>
          <rPr>
            <b/>
            <sz val="9"/>
            <color indexed="81"/>
            <rFont val="Tahoma"/>
            <family val="2"/>
          </rPr>
          <t>Shirley, Patricia:</t>
        </r>
        <r>
          <rPr>
            <sz val="9"/>
            <color indexed="81"/>
            <rFont val="Tahoma"/>
            <family val="2"/>
          </rPr>
          <t xml:space="preserve">
Revised based on reforecast and the addition of Joanne and Sponsorships
</t>
        </r>
      </text>
    </comment>
  </commentList>
</comments>
</file>

<file path=xl/comments10.xml><?xml version="1.0" encoding="utf-8"?>
<comments xmlns="http://schemas.openxmlformats.org/spreadsheetml/2006/main">
  <authors>
    <author>setup</author>
  </authors>
  <commentList>
    <comment ref="B26" authorId="0" shapeId="0">
      <text>
        <r>
          <rPr>
            <b/>
            <sz val="8"/>
            <color indexed="81"/>
            <rFont val="Tahoma"/>
            <family val="2"/>
          </rPr>
          <t>setup: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Steiner, Kara</author>
    <author>Stefopoulos, Antonia</author>
    <author>setup</author>
  </authors>
  <commentList>
    <comment ref="V1" authorId="0" shapeId="0">
      <text>
        <r>
          <rPr>
            <b/>
            <sz val="9"/>
            <color indexed="81"/>
            <rFont val="Tahoma"/>
            <family val="2"/>
          </rPr>
          <t>Steiner, Kara:</t>
        </r>
        <r>
          <rPr>
            <sz val="9"/>
            <color indexed="81"/>
            <rFont val="Tahoma"/>
            <family val="2"/>
          </rPr>
          <t xml:space="preserve">
this will include MCOM tuition free campaign and doctor's day and nurse's day rather than having a separate budget line</t>
        </r>
      </text>
    </comment>
    <comment ref="D11" authorId="1" shapeId="0">
      <text>
        <r>
          <rPr>
            <b/>
            <sz val="9"/>
            <color indexed="81"/>
            <rFont val="Tahoma"/>
            <family val="2"/>
          </rPr>
          <t>Stefopoulos, Antonia:</t>
        </r>
        <r>
          <rPr>
            <sz val="9"/>
            <color indexed="81"/>
            <rFont val="Tahoma"/>
            <family val="2"/>
          </rPr>
          <t xml:space="preserve">
15 guests/$50 x 10 dinners</t>
        </r>
      </text>
    </comment>
    <comment ref="B20" authorId="2" shapeId="0">
      <text>
        <r>
          <rPr>
            <b/>
            <sz val="8"/>
            <color indexed="81"/>
            <rFont val="Tahoma"/>
            <family val="2"/>
          </rPr>
          <t>setup:</t>
        </r>
        <r>
          <rPr>
            <sz val="8"/>
            <color indexed="81"/>
            <rFont val="Tahoma"/>
            <family val="2"/>
          </rPr>
          <t xml:space="preserve">
Canon</t>
        </r>
      </text>
    </comment>
  </commentList>
</comments>
</file>

<file path=xl/comments2.xml><?xml version="1.0" encoding="utf-8"?>
<comments xmlns="http://schemas.openxmlformats.org/spreadsheetml/2006/main">
  <authors>
    <author>Rivera, Carolyn</author>
    <author>Shirley, Patricia</author>
  </authors>
  <commentList>
    <comment ref="A7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$.445 per mile
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Airline tickets, baggage fees
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Max allowed is $200 per night unless it's a conference hotel 
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Enterprise preferred carrier - most cost efficient option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Enterprise preferred carrier - most cost efficient option</t>
        </r>
      </text>
    </comment>
    <comment ref="A14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$36 per day depending on travel time
$ 6- Breakfast 
$11 - Lunch
$19 - Dinner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Max allowed is $20 per employee per meal,
$50 for outside guests. 
Tips are not to exceed 20%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Airport parking, city parking, cab fare, tips 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specialty paper, general office 
</t>
        </r>
      </text>
    </comment>
    <comment ref="A20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specialty paper, general office 
</t>
        </r>
      </text>
    </comment>
    <comment ref="A21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Toner, cables, mouses, keyboards, etc.… 
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Canon</t>
        </r>
      </text>
    </comment>
    <comment ref="A22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computers
</t>
        </r>
      </text>
    </comment>
    <comment ref="A24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Stamps and  USPS Services</t>
        </r>
      </text>
    </comment>
    <comment ref="A25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Stamps and  USPS Services</t>
        </r>
      </text>
    </comment>
    <comment ref="A26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Stamps and  USPS Services</t>
        </r>
      </text>
    </comment>
    <comment ref="A27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Stamps and  USPS Services</t>
        </r>
      </text>
    </comment>
    <comment ref="A28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Road Runner, Fed Ex 
 </t>
        </r>
      </text>
    </comment>
    <comment ref="A29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Road Runner, Fed Ex 
 </t>
        </r>
      </text>
    </comment>
    <comment ref="A30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 Marketing  ad included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 Marketing  ad included</t>
        </r>
      </text>
    </comment>
    <comment ref="A34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Musicians for events, individuals not incorporated </t>
        </r>
      </text>
    </comment>
    <comment ref="A35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 graphic designers,  electronic marketing  ads etc.…
</t>
        </r>
      </text>
    </comment>
    <comment ref="P35" authorId="1" shapeId="0">
      <text>
        <r>
          <rPr>
            <b/>
            <sz val="9"/>
            <color indexed="81"/>
            <rFont val="Tahoma"/>
            <family val="2"/>
          </rPr>
          <t>Shirley, Patricia:</t>
        </r>
        <r>
          <rPr>
            <sz val="9"/>
            <color indexed="81"/>
            <rFont val="Tahoma"/>
            <family val="2"/>
          </rPr>
          <t xml:space="preserve">
Wealth Engine</t>
        </r>
      </text>
    </comment>
    <comment ref="A36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Coffee , Water , Equipment Rentals ( unless they are an independent contractor)
This </t>
        </r>
        <r>
          <rPr>
            <b/>
            <sz val="9"/>
            <color indexed="81"/>
            <rFont val="Tahoma"/>
            <family val="2"/>
          </rPr>
          <t>MUST</t>
        </r>
        <r>
          <rPr>
            <sz val="9"/>
            <color indexed="81"/>
            <rFont val="Tahoma"/>
            <family val="2"/>
          </rPr>
          <t xml:space="preserve"> be UMSA via Foundation as UMSA's preferred vendor is My Office Product </t>
        </r>
      </text>
    </comment>
    <comment ref="A37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Job postings </t>
        </r>
      </text>
    </comment>
    <comment ref="A40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USF Training Fees, conference fees not  webinars 
</t>
        </r>
      </text>
    </comment>
    <comment ref="A41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Board Meetings 
</t>
        </r>
      </text>
    </comment>
    <comment ref="A42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Case memberships, club dues, AFP, chamber, etc. 
</t>
        </r>
      </text>
    </comment>
    <comment ref="A45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Maintenance contracts on copiers, printers, computers, etc. 
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Flowers, event food &amp; supplies, luncheons,  staff meeting food and supplies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Bob Carter</t>
        </r>
      </text>
    </comment>
    <comment ref="B54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Tim Miller for DISC</t>
        </r>
      </text>
    </comment>
    <comment ref="A55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Retreat</t>
        </r>
      </text>
    </comment>
    <comment ref="V56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WLP
</t>
        </r>
      </text>
    </comment>
    <comment ref="A62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Telecommunications, phone, cell / data allowance, IT phone service, IT telecom infrastructure</t>
        </r>
      </text>
    </comment>
    <comment ref="A63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Supplies, Equip, CS software license expense</t>
        </r>
      </text>
    </comment>
    <comment ref="A64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Office Depot, supply / equip classroom, furniture</t>
        </r>
      </text>
    </comment>
    <comment ref="A65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Office Depot, supply / equip classroom, furniture</t>
        </r>
      </text>
    </comment>
    <comment ref="A67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Name badges</t>
        </r>
      </text>
    </comment>
    <comment ref="A70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State funded work orders</t>
        </r>
      </text>
    </comment>
    <comment ref="A72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Membership Dues</t>
        </r>
      </text>
    </comment>
    <comment ref="A78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Movers</t>
        </r>
      </text>
    </comment>
    <comment ref="A79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Includes Business Cards</t>
        </r>
      </text>
    </comment>
    <comment ref="A81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Ready Refresh </t>
        </r>
      </text>
    </comment>
    <comment ref="A104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$.445 per mile
</t>
        </r>
      </text>
    </comment>
    <comment ref="A105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Airline tickets, baggage fees
</t>
        </r>
      </text>
    </comment>
    <comment ref="A106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Max allowed is $200 per night unless it's a conference hotel 
</t>
        </r>
      </text>
    </comment>
    <comment ref="A107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Enterprise preferred carrier - most cost efficient option</t>
        </r>
      </text>
    </comment>
    <comment ref="A108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$36 per day depending on travel time
$ 6- Breakfast 
$11 - Lunch
$19 - Dinner</t>
        </r>
      </text>
    </comment>
    <comment ref="A109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Max allowed is $20 per employee per meal,
$50 for outside guests. 
Tips are not to exceed 20%</t>
        </r>
      </text>
    </comment>
    <comment ref="A111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Airport parking, city parking, cab fare, tips </t>
        </r>
      </text>
    </comment>
    <comment ref="A112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Airport parking, city parking, cab fare, tips </t>
        </r>
      </text>
    </comment>
    <comment ref="A114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specialty paper, general office 
</t>
        </r>
      </text>
    </comment>
    <comment ref="A115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Toner, cables, mice, keyboards, etc.… 
</t>
        </r>
      </text>
    </comment>
    <comment ref="A116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Anything that does not fall into the other categories 
 This includes the office furniture
</t>
        </r>
      </text>
    </comment>
    <comment ref="A117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computers
</t>
        </r>
      </text>
    </comment>
    <comment ref="A119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Stamps and  USPS Services</t>
        </r>
      </text>
    </comment>
    <comment ref="A120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Stamps and  USPS Services</t>
        </r>
      </text>
    </comment>
    <comment ref="A121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Road Runner, Fed Ex 
 </t>
        </r>
      </text>
    </comment>
    <comment ref="A123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 Marketing  ad included</t>
        </r>
      </text>
    </comment>
    <comment ref="A126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Musicians for events, individuals not incorporated </t>
        </r>
      </text>
    </comment>
    <comment ref="A127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Musicians for events, individuals not incorporated </t>
        </r>
      </text>
    </comment>
    <comment ref="A128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 graphic designers,  electronic marketing  ads etc.…
</t>
        </r>
      </text>
    </comment>
    <comment ref="A129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Coffee , Water , Equipment Rentals ( unless they are an independent contractor)
This </t>
        </r>
        <r>
          <rPr>
            <b/>
            <sz val="9"/>
            <color indexed="81"/>
            <rFont val="Tahoma"/>
            <family val="2"/>
          </rPr>
          <t>MUST</t>
        </r>
        <r>
          <rPr>
            <sz val="9"/>
            <color indexed="81"/>
            <rFont val="Tahoma"/>
            <family val="2"/>
          </rPr>
          <t xml:space="preserve"> be UMSA via Foundation as UMSA's preferred vendor is My Office Product </t>
        </r>
      </text>
    </comment>
    <comment ref="A130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Job postings </t>
        </r>
      </text>
    </comment>
    <comment ref="A133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USF Training Fees, conference fees not  webinars 
</t>
        </r>
      </text>
    </comment>
    <comment ref="A134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Board Meetings 
</t>
        </r>
      </text>
    </comment>
    <comment ref="A135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Case memberships, club dues, AFP, chamber, etc. 
</t>
        </r>
      </text>
    </comment>
    <comment ref="A138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Maintenance contracts on copiers, printers, computers, etc. 
</t>
        </r>
      </text>
    </comment>
    <comment ref="A140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Flowers, event food &amp; supplies, luncheons,  staff meeting food and supplies</t>
        </r>
      </text>
    </comment>
    <comment ref="A141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Relocation expenses for new employees</t>
        </r>
      </text>
    </comment>
    <comment ref="A142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Relocation expenses for new employees</t>
        </r>
      </text>
    </comment>
    <comment ref="A148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Bob Carter</t>
        </r>
      </text>
    </comment>
    <comment ref="A149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Retreat</t>
        </r>
      </text>
    </comment>
    <comment ref="A153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Telecommunications, phone, cell / data allowance, IT phone service, IT telecom infrastructure</t>
        </r>
      </text>
    </comment>
    <comment ref="A154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Supplies, Equip, CS software license expense</t>
        </r>
      </text>
    </comment>
    <comment ref="A155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Supplies, Equip, CS software license expense</t>
        </r>
      </text>
    </comment>
    <comment ref="A156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Office Depot, supply / equip classroom, furniture</t>
        </r>
      </text>
    </comment>
    <comment ref="A157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Office Depot, supply / equip classroom, furniture</t>
        </r>
      </text>
    </comment>
    <comment ref="A159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Name badges</t>
        </r>
      </text>
    </comment>
    <comment ref="A161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State funded work orders</t>
        </r>
      </text>
    </comment>
    <comment ref="A163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Membership Dues</t>
        </r>
      </text>
    </comment>
    <comment ref="A169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Movers</t>
        </r>
      </text>
    </comment>
    <comment ref="A170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Includes Business Cards</t>
        </r>
      </text>
    </comment>
    <comment ref="A173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Flowers, event food &amp; supplies, luncheons, donor cards, staff meeting food and supplies</t>
        </r>
      </text>
    </comment>
    <comment ref="A174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Ready Refresh </t>
        </r>
      </text>
    </comment>
  </commentList>
</comments>
</file>

<file path=xl/comments3.xml><?xml version="1.0" encoding="utf-8"?>
<comments xmlns="http://schemas.openxmlformats.org/spreadsheetml/2006/main">
  <authors>
    <author>Rivera, Carolyn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$.445 per mile
</t>
        </r>
      </text>
    </comment>
    <comment ref="I4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Airline tickets, baggage fees
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Max allowed is $200 per night unless it's a conference hotel 
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Enterprise preferred carrier - most cost efficient option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$36 per day depending on travel time
$ 6- Breakfast 
$11 - Lunch
$19 - Dinner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Max allowed is $20 per employee per meal,
$50 for outside guests. 
Tips are not to exceed 20%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Max allowed is $20 per employee per meal,
$50 for outside guests. 
Tips are not to exceed 20%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Airport parking, city parking, cab fare, tips 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Airport parking, city parking, cab fare, tips </t>
        </r>
      </text>
    </comment>
    <comment ref="A14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specialty paper, general office 
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Toner, cables, mouses, keyboards, etc.… 
</t>
        </r>
      </text>
    </comment>
    <comment ref="A16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Anything that does not fall into the other categories 
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computers
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Stamps and  USPS Services</t>
        </r>
      </text>
    </comment>
    <comment ref="A20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Road Runner, Fed Ex 
 </t>
        </r>
      </text>
    </comment>
    <comment ref="A22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 Marketing  ad included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Direct Paid </t>
        </r>
      </text>
    </comment>
    <comment ref="A25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Musicians for events, individuals not incorporated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July 1, 2019 - December 1, 2019 at $3,600.00</t>
        </r>
      </text>
    </comment>
    <comment ref="A26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 graphic designers,  electronic marketing  ads etc.…
</t>
        </r>
      </text>
    </comment>
    <comment ref="A27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 Equipment Rentals ( unless they are an independent contractor)</t>
        </r>
      </text>
    </comment>
    <comment ref="A28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Job postings 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USF Training Fees, conference fees not  webinars 
</t>
        </r>
      </text>
    </comment>
    <comment ref="A32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Board Meetings 
</t>
        </r>
      </text>
    </comment>
    <comment ref="A33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Case memberships, club dues, AFP, chamber, etc. 
</t>
        </r>
      </text>
    </comment>
    <comment ref="A37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Flowers, event food &amp; supplies, luncheons,  staff meeting food and supplies</t>
        </r>
      </text>
    </comment>
    <comment ref="A48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$.445 per mile
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Airline tickets, baggage fees
</t>
        </r>
      </text>
    </comment>
    <comment ref="A50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Max allowed is $200 per night unless it's a conference hotel 
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Enterprise preferred carrier - most cost efficient option</t>
        </r>
      </text>
    </comment>
    <comment ref="A52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$36 per day depending on travel time
$ 6- Breakfast 
$11 - Lunch
$19 - Dinner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Max allowed is $20 per employee per meal,
$50 for outside guests. 
Tips are not to exceed 20%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Airport parking, city parking, cab fare, tips 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specialty paper, general office 
</t>
        </r>
      </text>
    </comment>
    <comment ref="A57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Toner, cables, mouses, keyboards, etc.… 
</t>
        </r>
      </text>
    </comment>
    <comment ref="A58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Anything that does not fall into the other categories 
</t>
        </r>
      </text>
    </comment>
    <comment ref="A59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computers
</t>
        </r>
      </text>
    </comment>
    <comment ref="A61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Stamps and  USPS Services</t>
        </r>
      </text>
    </comment>
    <comment ref="A62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Road Runner, Fed Ex 
 </t>
        </r>
      </text>
    </comment>
    <comment ref="A63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 Marketing  ad included</t>
        </r>
      </text>
    </comment>
    <comment ref="A68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Musicians for events, individuals not incorporated </t>
        </r>
      </text>
    </comment>
    <comment ref="A69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 graphic designers,  electronic marketing  ads etc.…
</t>
        </r>
      </text>
    </comment>
    <comment ref="A70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 Equipment Rentals ( unless they are an independent contractor)</t>
        </r>
      </text>
    </comment>
    <comment ref="A71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Job postings </t>
        </r>
      </text>
    </comment>
    <comment ref="A74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USF Training Fees, conference fees not  webinars 
</t>
        </r>
      </text>
    </comment>
    <comment ref="A75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Board Meetings 
</t>
        </r>
      </text>
    </comment>
    <comment ref="A76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Case memberships, club dues, AFP, chamber, etc. 
</t>
        </r>
      </text>
    </comment>
    <comment ref="A80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Flowers, event food &amp; supplies, luncheons,  staff meeting food and supplies</t>
        </r>
      </text>
    </comment>
    <comment ref="A81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Brown's trophy's</t>
        </r>
      </text>
    </comment>
  </commentList>
</comments>
</file>

<file path=xl/comments4.xml><?xml version="1.0" encoding="utf-8"?>
<comments xmlns="http://schemas.openxmlformats.org/spreadsheetml/2006/main">
  <authors>
    <author>Bruno, Audriana</author>
    <author>Rivera, Carolyn</author>
    <author>Davina Gould</author>
    <author>Shirley, Patricia</author>
  </authors>
  <commentList>
    <comment ref="H1" authorId="0" shapeId="0">
      <text>
        <r>
          <rPr>
            <b/>
            <sz val="9"/>
            <color indexed="81"/>
            <rFont val="Tahoma"/>
            <family val="2"/>
          </rPr>
          <t>Bruno, Audriana:</t>
        </r>
        <r>
          <rPr>
            <sz val="9"/>
            <color indexed="81"/>
            <rFont val="Tahoma"/>
            <family val="2"/>
          </rPr>
          <t xml:space="preserve">
For printed postcard as well as possible MCOM printed newsletter</t>
        </r>
      </text>
    </comment>
    <comment ref="A4" authorId="1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$.445 per mile
</t>
        </r>
      </text>
    </comment>
    <comment ref="T4" authorId="2" shapeId="0">
      <text>
        <r>
          <rPr>
            <b/>
            <sz val="9"/>
            <color indexed="81"/>
            <rFont val="Calibri"/>
            <family val="2"/>
          </rPr>
          <t>Davina Gould:</t>
        </r>
        <r>
          <rPr>
            <sz val="9"/>
            <color indexed="81"/>
            <rFont val="Calibri"/>
            <family val="2"/>
          </rPr>
          <t xml:space="preserve">
In-state benchmarking day trip to a peer institution</t>
        </r>
      </text>
    </comment>
    <comment ref="A5" authorId="1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Airline tickets, baggage fees
</t>
        </r>
      </text>
    </comment>
    <comment ref="A6" authorId="1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Max allowed is $200 per night unless it's a conference hotel 
</t>
        </r>
      </text>
    </comment>
    <comment ref="A7" authorId="1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Max allowed is $200 per night unless it's a conference hotel 
</t>
        </r>
      </text>
    </comment>
    <comment ref="A8" authorId="1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Enterprise preferred carrier - most cost efficient option</t>
        </r>
      </text>
    </comment>
    <comment ref="A9" authorId="1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$36 per day depending on travel time
$ 6- Breakfast 
$11 - Lunch
$19 - Dinner</t>
        </r>
      </text>
    </comment>
    <comment ref="A10" authorId="1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Max allowed is $20 per employee per meal,
$50 for outside guests. 
Tips are not to exceed 20%</t>
        </r>
      </text>
    </comment>
    <comment ref="T10" authorId="1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For benchmarking trips and off-site planning retreat lunch</t>
        </r>
      </text>
    </comment>
    <comment ref="A11" authorId="1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Airport parking, city parking, cab fare, tips </t>
        </r>
      </text>
    </comment>
    <comment ref="A13" authorId="1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specialty paper, general office 
</t>
        </r>
      </text>
    </comment>
    <comment ref="A14" authorId="1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Toner, cables, mouses, keyboards, etc.… 
</t>
        </r>
      </text>
    </comment>
    <comment ref="A15" authorId="1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Anything that does not fall into the other categories 
</t>
        </r>
      </text>
    </comment>
    <comment ref="A16" authorId="1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computers
</t>
        </r>
      </text>
    </comment>
    <comment ref="A18" authorId="1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Stamps and  USPS Services</t>
        </r>
      </text>
    </comment>
    <comment ref="D18" authorId="1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Postage for 20,000 patients</t>
        </r>
      </text>
    </comment>
    <comment ref="A19" authorId="1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Road Runner, Fed Ex 
 </t>
        </r>
      </text>
    </comment>
    <comment ref="B20" authorId="1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Banners, Name Your Room Nights Signage and Programs, View books and collateral for proposals
</t>
        </r>
      </text>
    </comment>
    <comment ref="D20" authorId="1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A/B test, quarterly self-mailer to 10,000 patient, A/B test, letter segment to 10,000 patients through MCR</t>
        </r>
      </text>
    </comment>
    <comment ref="L20" authorId="2" shapeId="0">
      <text>
        <r>
          <rPr>
            <b/>
            <sz val="9"/>
            <color indexed="81"/>
            <rFont val="Calibri"/>
            <family val="2"/>
          </rPr>
          <t>Davina Gould:</t>
        </r>
        <r>
          <rPr>
            <sz val="9"/>
            <color indexed="81"/>
            <rFont val="Calibri"/>
            <family val="2"/>
          </rPr>
          <t xml:space="preserve">
 Direct Paid 
Folder reprint, case statements for MCOM priorities and each college</t>
        </r>
      </text>
    </comment>
    <comment ref="A23" authorId="1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Musicians for events, individuals not incorporated </t>
        </r>
      </text>
    </comment>
    <comment ref="A24" authorId="1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 graphic designers,  electronic marketing  ads etc.…
</t>
        </r>
      </text>
    </comment>
    <comment ref="L24" authorId="2" shapeId="0">
      <text>
        <r>
          <rPr>
            <b/>
            <sz val="9"/>
            <color indexed="81"/>
            <rFont val="Calibri"/>
            <family val="2"/>
          </rPr>
          <t>Davina Gould:</t>
        </r>
        <r>
          <rPr>
            <sz val="9"/>
            <color indexed="81"/>
            <rFont val="Calibri"/>
            <family val="2"/>
          </rPr>
          <t xml:space="preserve">
 Direct Paid Video assets and editing for scholarship and patient fundraising</t>
        </r>
      </text>
    </comment>
    <comment ref="A25" authorId="1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 graphic designers,  electronic marketing  ads etc.…
</t>
        </r>
      </text>
    </comment>
    <comment ref="A26" authorId="1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graphic designers,  electronic marketing  ads etc.…</t>
        </r>
      </text>
    </comment>
    <comment ref="A27" authorId="1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 Equipment Rentals ( unless they are an independent contractor)</t>
        </r>
      </text>
    </comment>
    <comment ref="A28" authorId="1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Job postings </t>
        </r>
      </text>
    </comment>
    <comment ref="N28" authorId="1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Paid social media for increased engagement</t>
        </r>
      </text>
    </comment>
    <comment ref="A31" authorId="1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USF Training Fees, conference fees not  webinars 
</t>
        </r>
      </text>
    </comment>
    <comment ref="P31" authorId="1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Local professional development workshops</t>
        </r>
      </text>
    </comment>
    <comment ref="R31" authorId="1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Local workshop and professional development lunches</t>
        </r>
      </text>
    </comment>
    <comment ref="T31" authorId="2" shapeId="0">
      <text>
        <r>
          <rPr>
            <b/>
            <sz val="9"/>
            <color indexed="81"/>
            <rFont val="Calibri"/>
            <family val="2"/>
          </rPr>
          <t>Davina Gould:</t>
        </r>
        <r>
          <rPr>
            <sz val="9"/>
            <color indexed="81"/>
            <rFont val="Calibri"/>
            <family val="2"/>
          </rPr>
          <t xml:space="preserve">
Local professional development seminar or luncheon</t>
        </r>
      </text>
    </comment>
    <comment ref="X31" authorId="1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AFP Integrated Marketing Conference INCLUDES HOTEL</t>
        </r>
      </text>
    </comment>
    <comment ref="A32" authorId="1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USF Training Fees, conference fees not  webinars 
</t>
        </r>
      </text>
    </comment>
    <comment ref="A33" authorId="1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Board Meetings 
</t>
        </r>
      </text>
    </comment>
    <comment ref="A34" authorId="1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Case memberships, club dues, AFP, chamber, etc. 
</t>
        </r>
      </text>
    </comment>
    <comment ref="J34" authorId="3" shapeId="0">
      <text>
        <r>
          <rPr>
            <b/>
            <sz val="9"/>
            <color indexed="81"/>
            <rFont val="Tahoma"/>
            <family val="2"/>
          </rPr>
          <t>Shirley, Patricia:</t>
        </r>
        <r>
          <rPr>
            <sz val="9"/>
            <color indexed="81"/>
            <rFont val="Tahoma"/>
            <family val="2"/>
          </rPr>
          <t xml:space="preserve">
CASE submission</t>
        </r>
      </text>
    </comment>
    <comment ref="T34" authorId="2" shapeId="0">
      <text>
        <r>
          <rPr>
            <b/>
            <sz val="9"/>
            <color indexed="81"/>
            <rFont val="Calibri"/>
            <family val="2"/>
          </rPr>
          <t>Davina Gould:</t>
        </r>
        <r>
          <rPr>
            <sz val="9"/>
            <color indexed="81"/>
            <rFont val="Calibri"/>
            <family val="2"/>
          </rPr>
          <t xml:space="preserve">
or APR maintenance and professional development materials</t>
        </r>
      </text>
    </comment>
    <comment ref="V34" authorId="2" shapeId="0">
      <text>
        <r>
          <rPr>
            <b/>
            <sz val="9"/>
            <color indexed="81"/>
            <rFont val="Calibri"/>
            <family val="2"/>
          </rPr>
          <t>AAMC GIA membership</t>
        </r>
      </text>
    </comment>
    <comment ref="X34" authorId="1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Marketing Association membership and professional development</t>
        </r>
      </text>
    </comment>
    <comment ref="J35" authorId="3" shapeId="0">
      <text>
        <r>
          <rPr>
            <b/>
            <sz val="9"/>
            <color indexed="81"/>
            <rFont val="Tahoma"/>
            <family val="2"/>
          </rPr>
          <t>Shirley, Patricia:</t>
        </r>
        <r>
          <rPr>
            <sz val="9"/>
            <color indexed="81"/>
            <rFont val="Tahoma"/>
            <family val="2"/>
          </rPr>
          <t xml:space="preserve">
Asana subscription for $920/year </t>
        </r>
      </text>
    </comment>
    <comment ref="J37" authorId="2" shapeId="0">
      <text>
        <r>
          <rPr>
            <b/>
            <sz val="9"/>
            <color indexed="81"/>
            <rFont val="Calibri"/>
            <family val="2"/>
          </rPr>
          <t>Davina Gould:</t>
        </r>
        <r>
          <rPr>
            <sz val="9"/>
            <color indexed="81"/>
            <rFont val="Calibri"/>
            <family val="2"/>
          </rPr>
          <t xml:space="preserve">
Constant Contact, Creative Cloud, Biteable, Zoho, Vimeo and other SAAS subscriptions</t>
        </r>
      </text>
    </comment>
    <comment ref="A39" authorId="1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Flowers, event food &amp; supplies, luncheons,  staff meeting food and supplies</t>
        </r>
      </text>
    </comment>
  </commentList>
</comments>
</file>

<file path=xl/comments5.xml><?xml version="1.0" encoding="utf-8"?>
<comments xmlns="http://schemas.openxmlformats.org/spreadsheetml/2006/main">
  <authors>
    <author>Rivera, Carolyn</author>
    <author>Shirley, Patricia</author>
  </authors>
  <commentList>
    <comment ref="A7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$.445 per mile
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$.445 per mile
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Airline tickets, baggage fees
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Max allowed is $200 per night unless it's a conference hotel 
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Enterprise preferred carrier - most cost efficient option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$36 per day depending on travel time
$ 6- Breakfast 
$11 - Lunch
$19 - Dinner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Max allowed is $20 per employee per meal,
$50 for outside guests. 
Tips are not to exceed 20%</t>
        </r>
      </text>
    </comment>
    <comment ref="B13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3000 for lunches with 
Lockwood
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Airport parking, city parking, cab fare, tips </t>
        </r>
      </text>
    </comment>
    <comment ref="A16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Airport parking, city parking, cab fare, tips 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specialty paper, general office 
</t>
        </r>
      </text>
    </comment>
    <comment ref="I18" authorId="1" shapeId="0">
      <text>
        <r>
          <rPr>
            <b/>
            <sz val="9"/>
            <color indexed="81"/>
            <rFont val="Tahoma"/>
            <family val="2"/>
          </rPr>
          <t>Shirley, Patricia:</t>
        </r>
        <r>
          <rPr>
            <sz val="9"/>
            <color indexed="81"/>
            <rFont val="Tahoma"/>
            <family val="2"/>
          </rPr>
          <t xml:space="preserve">
Scholarship TY Card
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Toner, cables, mouses, keyboards, etc.… 
</t>
        </r>
      </text>
    </comment>
    <comment ref="A20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Anything that does not fall into the other categories 
</t>
        </r>
      </text>
    </comment>
    <comment ref="A21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computers 
</t>
        </r>
      </text>
    </comment>
    <comment ref="A24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Road Runner, Fed Ex 
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includes scholarship photobook
</t>
        </r>
      </text>
    </comment>
    <comment ref="A29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Musicians for events, individuals not incorporated 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 AV</t>
        </r>
      </text>
    </comment>
    <comment ref="P30" authorId="1" shapeId="0">
      <text>
        <r>
          <rPr>
            <b/>
            <sz val="9"/>
            <color indexed="81"/>
            <rFont val="Tahoma"/>
            <family val="2"/>
          </rPr>
          <t>Shirley, Patricia:</t>
        </r>
        <r>
          <rPr>
            <sz val="9"/>
            <color indexed="81"/>
            <rFont val="Tahoma"/>
            <family val="2"/>
          </rPr>
          <t xml:space="preserve">
Video at event
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 graphic designers,  electronic marketing  ads etc.…
</t>
        </r>
      </text>
    </comment>
    <comment ref="A32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Equipment Rentals ( unless they are an independent contractor)</t>
        </r>
      </text>
    </comment>
    <comment ref="A35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USF Training Fees, conference fees not including hotel, webinars 
</t>
        </r>
      </text>
    </comment>
    <comment ref="A36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Board Meetings 
</t>
        </r>
      </text>
    </comment>
    <comment ref="A37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Case memberships, club dues, AFP, chamber, etc. 
</t>
        </r>
      </text>
    </comment>
    <comment ref="A40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Flowers, event food &amp; supplies, luncheons, donor cards, staff meeting food and supplies</t>
        </r>
      </text>
    </comment>
    <comment ref="A42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Flowers, event food &amp; supplies, luncheons, donor cards, staff meeting food and supplies</t>
        </r>
      </text>
    </comment>
  </commentList>
</comments>
</file>

<file path=xl/comments6.xml><?xml version="1.0" encoding="utf-8"?>
<comments xmlns="http://schemas.openxmlformats.org/spreadsheetml/2006/main">
  <authors>
    <author>Steiner, Kara</author>
    <author>Rivera, Carolyn</author>
    <author>Shirley, Patricia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Steiner, Kara:</t>
        </r>
        <r>
          <rPr>
            <sz val="9"/>
            <color indexed="81"/>
            <rFont val="Tahoma"/>
            <family val="2"/>
          </rPr>
          <t xml:space="preserve">
this will include MCOM tuition free campaign and doctor's day and nurse's day rather than having a separate budget line</t>
        </r>
      </text>
    </comment>
    <comment ref="A6" authorId="1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$.445 per mile
</t>
        </r>
      </text>
    </comment>
    <comment ref="A7" authorId="1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Airline tickets, baggage fees
</t>
        </r>
      </text>
    </comment>
    <comment ref="A8" authorId="1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Airline tickets, baggage fees
</t>
        </r>
      </text>
    </comment>
    <comment ref="A9" authorId="1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Max allowed is $200 per night unless it's a conference hotel 
</t>
        </r>
      </text>
    </comment>
    <comment ref="A10" authorId="1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Enterprise preferred carrier - most cost efficient option</t>
        </r>
      </text>
    </comment>
    <comment ref="A11" authorId="1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$36 per day depending on travel time
$ 6- Breakfast 
$11 - Lunch
$19 - Dinner
</t>
        </r>
      </text>
    </comment>
    <comment ref="A13" authorId="1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Max allowed is $20 per employee per meal,
$50 for outside guests. 
Tips are not to exceed 20%</t>
        </r>
      </text>
    </comment>
    <comment ref="A15" authorId="1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Airport parking, city parking, cab fare, tips </t>
        </r>
      </text>
    </comment>
    <comment ref="A17" authorId="1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specialty paper, general office 
</t>
        </r>
      </text>
    </comment>
    <comment ref="A18" authorId="1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Toner, cables, mouses, keyboards, etc.… 
</t>
        </r>
      </text>
    </comment>
    <comment ref="A19" authorId="1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Anything that does not fall into the other categories 
</t>
        </r>
      </text>
    </comment>
    <comment ref="V19" authorId="2" shapeId="0">
      <text>
        <r>
          <rPr>
            <b/>
            <sz val="9"/>
            <color indexed="81"/>
            <rFont val="Tahoma"/>
            <family val="2"/>
          </rPr>
          <t>Shirley, Patricia:</t>
        </r>
        <r>
          <rPr>
            <sz val="9"/>
            <color indexed="81"/>
            <rFont val="Tahoma"/>
            <family val="2"/>
          </rPr>
          <t xml:space="preserve">
Tent
</t>
        </r>
      </text>
    </comment>
    <comment ref="A20" authorId="1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computers - if you request a new line, budget 2000 for new equipment 
</t>
        </r>
      </text>
    </comment>
    <comment ref="A23" authorId="1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Road Runner, Fed Ex 
 Postage is being billed to UMSA at the moment </t>
        </r>
      </text>
    </comment>
    <comment ref="A26" authorId="1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 Marketing included</t>
        </r>
      </text>
    </comment>
    <comment ref="V26" authorId="2" shapeId="0">
      <text>
        <r>
          <rPr>
            <b/>
            <sz val="9"/>
            <color indexed="81"/>
            <rFont val="Tahoma"/>
            <family val="2"/>
          </rPr>
          <t>Shirley, Patricia:</t>
        </r>
        <r>
          <rPr>
            <sz val="9"/>
            <color indexed="81"/>
            <rFont val="Tahoma"/>
            <family val="2"/>
          </rPr>
          <t xml:space="preserve">
2020 Tailgate STD
</t>
        </r>
      </text>
    </comment>
    <comment ref="A31" authorId="1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Musicians for events, individuals not incorporated </t>
        </r>
      </text>
    </comment>
    <comment ref="A32" authorId="1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 graphic designers,  electronic marketing  ads etc.…
</t>
        </r>
      </text>
    </comment>
    <comment ref="A33" authorId="1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Equipment Rentals ( unless they are an independent contractor)</t>
        </r>
      </text>
    </comment>
    <comment ref="A36" authorId="1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USF Training Fees, conference fees not including hotel, webinars 
</t>
        </r>
      </text>
    </comment>
    <comment ref="A37" authorId="1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Board Meetings 
</t>
        </r>
      </text>
    </comment>
    <comment ref="A38" authorId="1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Case memberships, club dues, AFP, chamber, etc. 
</t>
        </r>
      </text>
    </comment>
    <comment ref="A41" authorId="1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Flowers, event food &amp; supplies, luncheons,  staff meeting food and supplies</t>
        </r>
      </text>
    </comment>
  </commentList>
</comments>
</file>

<file path=xl/comments7.xml><?xml version="1.0" encoding="utf-8"?>
<comments xmlns="http://schemas.openxmlformats.org/spreadsheetml/2006/main">
  <authors>
    <author>Rivera, Carolyn</author>
    <author>Shirley, Patricia</author>
  </authors>
  <commentList>
    <comment ref="A6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$.445 per mile
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Airline tickets, baggage fees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Airline tickets, baggage fees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Max allowed is $200 per night unless it's a conference hotel 
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Enterprise preferred carrier - most cost efficient option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$36 per day depending on travel time
$ 6- Breakfast 
$11 - Lunch
$19 - Dinner
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Max allowed is $20 per employee per meal,
$50 for outside guests. 
Tips are not to exceed 20%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Airport parking, city parking, cab fare, tips 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specialty paper, general office 
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Toner, cables, mouses, keyboards, etc.… 
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Anything that does not fall into the other categories 
</t>
        </r>
      </text>
    </comment>
    <comment ref="A20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computers - if you request a new line, budget 2000 for new equipment 
</t>
        </r>
      </text>
    </comment>
    <comment ref="A23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Road Runner, Fed Ex 
 Postage is being billed to UMSA at the moment </t>
        </r>
      </text>
    </comment>
    <comment ref="A26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 Marketing included</t>
        </r>
      </text>
    </comment>
    <comment ref="A29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Musicians for events, individuals not incorporated </t>
        </r>
      </text>
    </comment>
    <comment ref="A30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Musicians for events, individuals not incorporated 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 graphic designers,  electronic marketing  ads etc.…
</t>
        </r>
      </text>
    </comment>
    <comment ref="A32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Equipment Rentals ( unless they are an independent contractor)</t>
        </r>
      </text>
    </comment>
    <comment ref="A35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USF Training Fees, conference fees not including hotel, webinars 
</t>
        </r>
      </text>
    </comment>
    <comment ref="A36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Board Meetings 
</t>
        </r>
      </text>
    </comment>
    <comment ref="A37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Case memberships, club dues, AFP, chamber, etc. 
</t>
        </r>
      </text>
    </comment>
    <comment ref="A41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Flowers, event food &amp; supplies, luncheons,  staff meeting food and supplies</t>
        </r>
      </text>
    </comment>
    <comment ref="F42" authorId="1" shapeId="0">
      <text>
        <r>
          <rPr>
            <b/>
            <sz val="9"/>
            <color indexed="81"/>
            <rFont val="Tahoma"/>
            <family val="2"/>
          </rPr>
          <t>Shirley, Patricia:</t>
        </r>
        <r>
          <rPr>
            <sz val="9"/>
            <color indexed="81"/>
            <rFont val="Tahoma"/>
            <family val="2"/>
          </rPr>
          <t xml:space="preserve">
Alumni Award
</t>
        </r>
      </text>
    </comment>
    <comment ref="A52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$.445 per mile
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$.445 per mile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Airline tickets, baggage fees</t>
        </r>
      </text>
    </comment>
    <comment ref="A55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Max allowed is $200 per night unless it's a conference hotel 
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Enterprise preferred carrier - most cost efficient option</t>
        </r>
      </text>
    </comment>
    <comment ref="A57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$36 per day depending on travel time
$ 6- Breakfast 
$11 - Lunch
$19 - Dinner
</t>
        </r>
      </text>
    </comment>
    <comment ref="A58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Max allowed is $20 per employee per meal,
$50 for outside guests. 
Tips are not to exceed 20%</t>
        </r>
      </text>
    </comment>
    <comment ref="A59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Max allowed is $20 per employee per meal,
$50 for outside guests. 
Tips are not to exceed 20%</t>
        </r>
      </text>
    </comment>
    <comment ref="A60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Airport parking, city parking, cab fare, tips </t>
        </r>
      </text>
    </comment>
    <comment ref="A61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Airport parking, city parking, cab fare, tips </t>
        </r>
      </text>
    </comment>
    <comment ref="A65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specialty paper, general office 
</t>
        </r>
      </text>
    </comment>
    <comment ref="A66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Toner, cables, mouses, keyboards, etc.… 
</t>
        </r>
      </text>
    </comment>
    <comment ref="A67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Anything that does not fall into the other categories 
</t>
        </r>
      </text>
    </comment>
    <comment ref="A68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computers - if you request a new line, budget 2000 for new equipment 
</t>
        </r>
      </text>
    </comment>
    <comment ref="A71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Road Runner, Fed Ex 
 Postage is being billed to UMSA at the moment </t>
        </r>
      </text>
    </comment>
    <comment ref="A73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 Marketing included</t>
        </r>
      </text>
    </comment>
    <comment ref="A76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Musicians for events, individuals not incorporated </t>
        </r>
      </text>
    </comment>
    <comment ref="A77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Musicians for events, individuals not incorporated </t>
        </r>
      </text>
    </comment>
    <comment ref="A78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 graphic designers,  electronic marketing  ads etc.…
</t>
        </r>
      </text>
    </comment>
    <comment ref="A79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Equipment Rentals ( unless they are an independent contractor)</t>
        </r>
      </text>
    </comment>
    <comment ref="A83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Board Meetings 
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Case memberships, club dues, AFP, chamber, etc. 
</t>
        </r>
      </text>
    </comment>
    <comment ref="A88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Flowers, event food &amp; supplies, luncheons,  staff meeting food and supplies</t>
        </r>
      </text>
    </comment>
    <comment ref="A89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Flowers, event food &amp; supplies, luncheons,  staff meeting food and supplies</t>
        </r>
      </text>
    </comment>
    <comment ref="K90" authorId="1" shapeId="0">
      <text>
        <r>
          <rPr>
            <b/>
            <sz val="9"/>
            <color indexed="81"/>
            <rFont val="Tahoma"/>
            <family val="2"/>
          </rPr>
          <t>Shirley, Patricia:</t>
        </r>
        <r>
          <rPr>
            <sz val="9"/>
            <color indexed="81"/>
            <rFont val="Tahoma"/>
            <family val="2"/>
          </rPr>
          <t xml:space="preserve">
Lapel pins</t>
        </r>
      </text>
    </comment>
  </commentList>
</comments>
</file>

<file path=xl/comments8.xml><?xml version="1.0" encoding="utf-8"?>
<comments xmlns="http://schemas.openxmlformats.org/spreadsheetml/2006/main">
  <authors>
    <author>Rivera, Carolyn</author>
    <author>Shirley, Patricia</author>
    <author>Nalezny, Haley</author>
  </authors>
  <commentList>
    <comment ref="A5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$.445 per mile
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Airline tickets, baggage fees, seat fees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Max allowed is $200 per night unless it's a conference hotel 
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Enterprise preferred carrier - most cost efficient option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$36 per day depending on travel time
$ 6- Breakfast 
$11 - Lunch
$19 - Dinner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Max allowed is $20 per employee per meal,
$50 for outside guests. 
Tips are not to exceed 20%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Airport parking, city parking, cab fare, tips 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specialty paper, general office 
</t>
        </r>
      </text>
    </comment>
    <comment ref="A14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Toner, cables, mouses, keyboards, etc.… 
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Anything that does not fall into the other categories 
</t>
        </r>
      </text>
    </comment>
    <comment ref="A16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computers - if you request a new line, budget 2000 for new equipment 
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Road Runner, Fed Ex 
 Postage is being billed to UMSA at the moment </t>
        </r>
      </text>
    </comment>
    <comment ref="A20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 Marketing included</t>
        </r>
      </text>
    </comment>
    <comment ref="A24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Musicians for events, individuals not incorporated </t>
        </r>
      </text>
    </comment>
    <comment ref="A25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 graphic designers,  electronic marketing  ads etc.…
</t>
        </r>
      </text>
    </comment>
    <comment ref="A26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Equipment Rentals ( unless they are an independent contractor)</t>
        </r>
      </text>
    </comment>
    <comment ref="A29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USF Training Fees, conference fees not including hotel, webinars 
</t>
        </r>
      </text>
    </comment>
    <comment ref="A30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Board Meetings 
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Case memberships, club dues, AFP, chamber, etc. 
</t>
        </r>
      </text>
    </comment>
    <comment ref="A34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Flowers, event food &amp; supplies, luncheons,  staff meeting food and supplies</t>
        </r>
      </text>
    </comment>
    <comment ref="V35" authorId="1" shapeId="0">
      <text>
        <r>
          <rPr>
            <b/>
            <sz val="9"/>
            <color indexed="81"/>
            <rFont val="Tahoma"/>
            <family val="2"/>
          </rPr>
          <t>Shirley, Patricia:</t>
        </r>
        <r>
          <rPr>
            <sz val="9"/>
            <color indexed="81"/>
            <rFont val="Tahoma"/>
            <family val="2"/>
          </rPr>
          <t xml:space="preserve">
Student Salary $11/hr. *20 hrs.*8 weeks
</t>
        </r>
      </text>
    </comment>
    <comment ref="X35" authorId="2" shapeId="0">
      <text>
        <r>
          <rPr>
            <b/>
            <sz val="9"/>
            <color indexed="81"/>
            <rFont val="Tahoma"/>
            <family val="2"/>
          </rPr>
          <t>Nalezny, Haley:</t>
        </r>
        <r>
          <rPr>
            <sz val="9"/>
            <color indexed="81"/>
            <rFont val="Tahoma"/>
            <family val="2"/>
          </rPr>
          <t xml:space="preserve">
Cell Phone ($1,020)
Other expenses ($104)
Prizes Awards ($250)
</t>
        </r>
      </text>
    </comment>
    <comment ref="Z35" authorId="2" shapeId="0">
      <text>
        <r>
          <rPr>
            <b/>
            <sz val="9"/>
            <color indexed="81"/>
            <rFont val="Tahoma"/>
            <family val="2"/>
          </rPr>
          <t>Nalezny, Haley:</t>
        </r>
        <r>
          <rPr>
            <sz val="9"/>
            <color indexed="81"/>
            <rFont val="Tahoma"/>
            <family val="2"/>
          </rPr>
          <t xml:space="preserve">
Cell phone ($1,020)</t>
        </r>
      </text>
    </comment>
    <comment ref="AB35" authorId="2" shapeId="0">
      <text>
        <r>
          <rPr>
            <b/>
            <sz val="9"/>
            <color indexed="81"/>
            <rFont val="Tahoma"/>
            <family val="2"/>
          </rPr>
          <t>Nalezny, Haley:</t>
        </r>
        <r>
          <rPr>
            <sz val="9"/>
            <color indexed="81"/>
            <rFont val="Tahoma"/>
            <family val="2"/>
          </rPr>
          <t xml:space="preserve">
Cell phone ($2040) 
Other expenses ($104)
Prizes &amp; Awards ($250)
</t>
        </r>
      </text>
    </comment>
  </commentList>
</comments>
</file>

<file path=xl/comments9.xml><?xml version="1.0" encoding="utf-8"?>
<comments xmlns="http://schemas.openxmlformats.org/spreadsheetml/2006/main">
  <authors>
    <author>Rivera, Carolyn</author>
  </authors>
  <commentList>
    <comment ref="A5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$.445 per mile
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Airline tickets, baggage fees, seat fees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Max allowed is $200 per night unless it's a conference hotel 
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Enterprise preferred carrier - most cost efficient option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$36 per day depending on travel time
$ 6- Breakfast 
$11 - Lunch
$19 - Dinner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Max allowed is $20 per employee per meal,
$50 for outside guests. 
Tips are not to exceed 20%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Airport parking, city parking, cab fare, tips 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specialty paper, general office 
</t>
        </r>
      </text>
    </comment>
    <comment ref="A14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Toner, cables, mouses, keyboards, etc.… 
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Anything that does not fall into the other categories 
</t>
        </r>
      </text>
    </comment>
    <comment ref="A16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computers - if you request a new line, budget 2000 for new equipment 
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Road Runner, Fed Ex 
 Postage is being billed to UMSA at the moment </t>
        </r>
      </text>
    </comment>
    <comment ref="A20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 Marketing included</t>
        </r>
      </text>
    </comment>
    <comment ref="A23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Musicians for events, individuals not incorporated </t>
        </r>
      </text>
    </comment>
    <comment ref="A24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 graphic designers,  electronic marketing  ads etc.…
</t>
        </r>
      </text>
    </comment>
    <comment ref="A25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Equipment Rentals ( unless they are an independent contractor)</t>
        </r>
      </text>
    </comment>
    <comment ref="A28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USF Training Fees, conference fees not including hotel, webinars 
</t>
        </r>
      </text>
    </comment>
    <comment ref="A29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Board Meetings 
</t>
        </r>
      </text>
    </comment>
    <comment ref="A30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Case memberships, club dues, AFP, chamber, etc. 
</t>
        </r>
      </text>
    </comment>
    <comment ref="A33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Flowers, event food &amp; supplies, luncheons,  staff meeting food and supplies</t>
        </r>
      </text>
    </comment>
  </commentList>
</comments>
</file>

<file path=xl/sharedStrings.xml><?xml version="1.0" encoding="utf-8"?>
<sst xmlns="http://schemas.openxmlformats.org/spreadsheetml/2006/main" count="1291" uniqueCount="389">
  <si>
    <t>Office Expenses</t>
  </si>
  <si>
    <t xml:space="preserve">Carry Forward </t>
  </si>
  <si>
    <t>Foundation</t>
  </si>
  <si>
    <t xml:space="preserve">UMSA </t>
  </si>
  <si>
    <t>Projections</t>
  </si>
  <si>
    <t xml:space="preserve">Mileage </t>
  </si>
  <si>
    <t>Travel- Hotel/Air Fare</t>
  </si>
  <si>
    <t>Car Rental</t>
  </si>
  <si>
    <t xml:space="preserve">Misc: Cab Fare, Parking, Tolls </t>
  </si>
  <si>
    <t xml:space="preserve">Business Meals &amp; Entertainment </t>
  </si>
  <si>
    <t>Cell Phone/ Data</t>
  </si>
  <si>
    <t>Registry/Tuition Fee/Conferences</t>
  </si>
  <si>
    <t>Dues/Membership/Subscription</t>
  </si>
  <si>
    <t>Equipment Rental</t>
  </si>
  <si>
    <t>Misc Supplies</t>
  </si>
  <si>
    <t>Postage, Mailing &amp; Freight</t>
  </si>
  <si>
    <t>Printing &amp; Xeroxing</t>
  </si>
  <si>
    <t>Photography Supplies</t>
  </si>
  <si>
    <t xml:space="preserve">Other Expenses </t>
  </si>
  <si>
    <t xml:space="preserve">Contractual services </t>
  </si>
  <si>
    <t>Prizes, Awards &amp; Gifts</t>
  </si>
  <si>
    <t>Marketing Ad</t>
  </si>
  <si>
    <t>UMSA</t>
  </si>
  <si>
    <t>Revenue</t>
  </si>
  <si>
    <t xml:space="preserve">Projections </t>
  </si>
  <si>
    <t xml:space="preserve">COM Scholarship Reception Stewardship </t>
  </si>
  <si>
    <t>Nursing Direct Payments</t>
  </si>
  <si>
    <t>Total</t>
  </si>
  <si>
    <t>Subtotal</t>
  </si>
  <si>
    <t xml:space="preserve">Faculty staff expense ( Life &amp; Health ) </t>
  </si>
  <si>
    <t xml:space="preserve">Auto Allowance </t>
  </si>
  <si>
    <t>Computer Supplies/Equipment</t>
  </si>
  <si>
    <t>Telecom. Service</t>
  </si>
  <si>
    <t>Coffee Service</t>
  </si>
  <si>
    <t>Water Service</t>
  </si>
  <si>
    <t>Office Supplies</t>
  </si>
  <si>
    <t>Rent</t>
  </si>
  <si>
    <t>Equipment Rental- linen</t>
  </si>
  <si>
    <t xml:space="preserve">Thanksgiving Cards Stewardship </t>
  </si>
  <si>
    <t xml:space="preserve">Patricia Shirley                                                Stewardship </t>
  </si>
  <si>
    <t>Contractual Services</t>
  </si>
  <si>
    <t>Contractual services - design</t>
  </si>
  <si>
    <t>Philanthropy Education</t>
  </si>
  <si>
    <t>E&amp;G</t>
  </si>
  <si>
    <t xml:space="preserve">Misc.: Cab Fare, Parking, Tolls </t>
  </si>
  <si>
    <t>Misc. Supplies</t>
  </si>
  <si>
    <t>Sponsorships</t>
  </si>
  <si>
    <t>Actual- American Heart April 2013 - UMSA - Deans fund</t>
  </si>
  <si>
    <t>Actual-            Pepin  Heart Feb 2013 - Foundation 25-1400- Deans fund</t>
  </si>
  <si>
    <t xml:space="preserve">Actual Junior Achievement  Feb 2013 - Foundation Split Dean's /Dev. fund </t>
  </si>
  <si>
    <t>Lightning Suite</t>
  </si>
  <si>
    <t xml:space="preserve">Lexis Nexis </t>
  </si>
  <si>
    <t>Lightning Suites       (2)</t>
  </si>
  <si>
    <t xml:space="preserve">COM Telefund    </t>
  </si>
  <si>
    <t>Advisory Board</t>
  </si>
  <si>
    <t xml:space="preserve">USF Health Football </t>
  </si>
  <si>
    <t xml:space="preserve">Assistant Director                        Bari Becker                            </t>
  </si>
  <si>
    <t xml:space="preserve">Stock Photography                                                                         Stewardship  </t>
  </si>
  <si>
    <t>Health AVP</t>
  </si>
  <si>
    <t xml:space="preserve">Total </t>
  </si>
  <si>
    <t>SPTRS</t>
  </si>
  <si>
    <t>Public Health</t>
  </si>
  <si>
    <t>Nursing</t>
  </si>
  <si>
    <t>Pharmacy</t>
  </si>
  <si>
    <t>Diabetes</t>
  </si>
  <si>
    <t>Health AVP Actuals</t>
  </si>
  <si>
    <t>Nurses Week Activities</t>
  </si>
  <si>
    <t>AVP - USF Health Dev &amp; Alumni</t>
  </si>
  <si>
    <t>Dues/Membership</t>
  </si>
  <si>
    <t>Subscription</t>
  </si>
  <si>
    <t xml:space="preserve">  Associate Director of Development Kara Steiner                                                            </t>
  </si>
  <si>
    <t xml:space="preserve">Recruitment </t>
  </si>
  <si>
    <t>Foundation       24-0007</t>
  </si>
  <si>
    <t>E&amp;G -Dev.  682500/10000</t>
  </si>
  <si>
    <t xml:space="preserve">   </t>
  </si>
  <si>
    <t xml:space="preserve">Stewardship Stationary </t>
  </si>
  <si>
    <t>Communications</t>
  </si>
  <si>
    <t xml:space="preserve">Senior Development </t>
  </si>
  <si>
    <t xml:space="preserve"> MD White Coat  Campaign          </t>
  </si>
  <si>
    <t>Estate Planning Event  May/June</t>
  </si>
  <si>
    <t>Projections                        (4) @2500 relocation &amp; interview expenses</t>
  </si>
  <si>
    <t>Physician Education Grateful Patient</t>
  </si>
  <si>
    <t>Annual Appeals and Direct Mail Campaigns</t>
  </si>
  <si>
    <t>Grateful Patient Collateral</t>
  </si>
  <si>
    <t>Faculty &amp; Staff Campaign Open House</t>
  </si>
  <si>
    <t xml:space="preserve">Lehigh                     Valley  event                (75) </t>
  </si>
  <si>
    <t xml:space="preserve">Senior VP Health Cultivation Stewardship Florida </t>
  </si>
  <si>
    <t xml:space="preserve"> MCOM  Director of Development Grateful Patient  </t>
  </si>
  <si>
    <t>Lockwood stewardship card</t>
  </si>
  <si>
    <t xml:space="preserve">Dara Eckert Stewardship </t>
  </si>
  <si>
    <t xml:space="preserve">Kara Steiner                                                            </t>
  </si>
  <si>
    <t>Davina Gould</t>
  </si>
  <si>
    <t>Ashley Messer</t>
  </si>
  <si>
    <t>Actual</t>
  </si>
  <si>
    <t>Actuals</t>
  </si>
  <si>
    <t>HSC 10000 682500     E&amp;G</t>
  </si>
  <si>
    <t>110590    Foundation</t>
  </si>
  <si>
    <t>HSC 682500 01533 MCOM OEA</t>
  </si>
  <si>
    <t>Foundation                                110590</t>
  </si>
  <si>
    <t>UMSA                           Submitted Thru Foundation w/UMSA noted</t>
  </si>
  <si>
    <t>UMSA                              Submitted Thru Foundation w/UMSA noted</t>
  </si>
  <si>
    <t>COM/Health Alumni</t>
  </si>
  <si>
    <t>Catherine Warner</t>
  </si>
  <si>
    <t xml:space="preserve">Communications Subscriptions                                                                          </t>
  </si>
  <si>
    <t xml:space="preserve">Actuals </t>
  </si>
  <si>
    <t>UMSA                        Submitted Thru Foundation w/UMSA noted</t>
  </si>
  <si>
    <t>CON Lightning Suite (1)</t>
  </si>
  <si>
    <t>Residency Alumni Project/Event</t>
  </si>
  <si>
    <t xml:space="preserve">HSC 10009 682500                  Carry Forward </t>
  </si>
  <si>
    <t>MCOM Building &amp; Heart Communications</t>
  </si>
  <si>
    <t>COM/Health Alumni Actuals</t>
  </si>
  <si>
    <t>Arty Giallourakis</t>
  </si>
  <si>
    <t>Projection</t>
  </si>
  <si>
    <t>Susan Bakewell</t>
  </si>
  <si>
    <t>Carolyn Rivera</t>
  </si>
  <si>
    <t>Principal Gifts Actuals</t>
  </si>
  <si>
    <t>Communications Actuals</t>
  </si>
  <si>
    <t>Annual Giving</t>
  </si>
  <si>
    <t>Annual Giving Actuals</t>
  </si>
  <si>
    <t>Alumni Events</t>
  </si>
  <si>
    <t>White Coat Reception</t>
  </si>
  <si>
    <t>Approved FY17-18</t>
  </si>
  <si>
    <t>Personalized Stewardship</t>
  </si>
  <si>
    <t>Annual Appeals and Direct Mail Campaigns (5)</t>
  </si>
  <si>
    <t>Development Printed Collateral</t>
  </si>
  <si>
    <t>Actuals Happy Hour</t>
  </si>
  <si>
    <t xml:space="preserve">Actual         </t>
  </si>
  <si>
    <t>Dara Brociner</t>
  </si>
  <si>
    <t xml:space="preserve">Alumni Board and Committee Meetings </t>
  </si>
  <si>
    <t>Other Professional Services</t>
  </si>
  <si>
    <t>Pam Kelley</t>
  </si>
  <si>
    <t>Foundation                                    310005 
(Event's fund)</t>
  </si>
  <si>
    <t xml:space="preserve">HSC 682500 10009 000000 </t>
  </si>
  <si>
    <t>Stewardship Video</t>
  </si>
  <si>
    <t>Wyndham Randall</t>
  </si>
  <si>
    <t>Consultant</t>
  </si>
  <si>
    <t>Neurosciences  Collateral</t>
  </si>
  <si>
    <t xml:space="preserve">Board Dev.                           Neurosciences </t>
  </si>
  <si>
    <t>Automobile  Rental</t>
  </si>
  <si>
    <t>Lodging Expense</t>
  </si>
  <si>
    <t>Travel -Airline Tickets</t>
  </si>
  <si>
    <t xml:space="preserve">Per Diem Expenses </t>
  </si>
  <si>
    <t xml:space="preserve">General Office Supplies </t>
  </si>
  <si>
    <t xml:space="preserve">Copier &amp; Computer Supplies </t>
  </si>
  <si>
    <t>Miscellaneous Supplies</t>
  </si>
  <si>
    <t>Equipment -over $500</t>
  </si>
  <si>
    <t>Travel &amp; Entertainment</t>
  </si>
  <si>
    <t xml:space="preserve">Operating Supplies &amp; Equipment </t>
  </si>
  <si>
    <t xml:space="preserve">Printing &amp; Postage </t>
  </si>
  <si>
    <t>Postage &amp; Shipping</t>
  </si>
  <si>
    <t xml:space="preserve">Courier Services </t>
  </si>
  <si>
    <t>Printing</t>
  </si>
  <si>
    <t>Mail House Services</t>
  </si>
  <si>
    <t>Professional Services</t>
  </si>
  <si>
    <t xml:space="preserve">Automobile Mileage  </t>
  </si>
  <si>
    <t xml:space="preserve">Computer Consulting </t>
  </si>
  <si>
    <t xml:space="preserve">Independent Contractors </t>
  </si>
  <si>
    <t xml:space="preserve">Office Vendor Services </t>
  </si>
  <si>
    <t xml:space="preserve">Employment Advertising </t>
  </si>
  <si>
    <t>Office Vendor Services  ( Coffee/ Ready Refresh)</t>
  </si>
  <si>
    <t xml:space="preserve">Fees &amp; Dues </t>
  </si>
  <si>
    <t xml:space="preserve">Magazine Subscriptions </t>
  </si>
  <si>
    <t xml:space="preserve">Conference Fees /Educational Training </t>
  </si>
  <si>
    <t xml:space="preserve">Board &amp; Committee Meetings </t>
  </si>
  <si>
    <t xml:space="preserve">Professional Dues </t>
  </si>
  <si>
    <t>Miscellaneous Fees</t>
  </si>
  <si>
    <t>Utilities/Licensing</t>
  </si>
  <si>
    <t>Repairs &amp; Maintenance</t>
  </si>
  <si>
    <t>Other Expense</t>
  </si>
  <si>
    <t>Community Relations</t>
  </si>
  <si>
    <t xml:space="preserve">Moving Expenses </t>
  </si>
  <si>
    <t xml:space="preserve">Miscellaneous Expenses </t>
  </si>
  <si>
    <t>Foundation / UMSA</t>
  </si>
  <si>
    <t>Faculty Support  - JA Faculty / Staff Expense</t>
  </si>
  <si>
    <t>Other Revenue / Rent</t>
  </si>
  <si>
    <t>Record Storage  and Disposal</t>
  </si>
  <si>
    <t>Consulting Expenses</t>
  </si>
  <si>
    <t>Department Related Functions</t>
  </si>
  <si>
    <t>MCOM OEA   
   HSC 682500 01533</t>
  </si>
  <si>
    <t>Krystal Pleasant</t>
  </si>
  <si>
    <t>MCOM OEA 
HSC 682500 01533</t>
  </si>
  <si>
    <t>Direct Pay College of Pharmacy</t>
  </si>
  <si>
    <t>State Funds</t>
  </si>
  <si>
    <t>Computer Related</t>
  </si>
  <si>
    <t>Material, Supplies and Equip Other</t>
  </si>
  <si>
    <t>Repairs/ Maintenance/ Renovations</t>
  </si>
  <si>
    <t xml:space="preserve">Telephone &amp; Telecommunications </t>
  </si>
  <si>
    <t>Subscriptions &amp; Periodicals</t>
  </si>
  <si>
    <t>HR Background Checks</t>
  </si>
  <si>
    <t>PP Bulk Mail</t>
  </si>
  <si>
    <t xml:space="preserve">PP Business  Reply </t>
  </si>
  <si>
    <t>PP Regular Mail</t>
  </si>
  <si>
    <t>Travel</t>
  </si>
  <si>
    <t xml:space="preserve">Meals </t>
  </si>
  <si>
    <t>Mileage</t>
  </si>
  <si>
    <t>Lodging</t>
  </si>
  <si>
    <t>Training</t>
  </si>
  <si>
    <t>Airfare</t>
  </si>
  <si>
    <t xml:space="preserve">Registration/ Conference </t>
  </si>
  <si>
    <t>Parking Permits</t>
  </si>
  <si>
    <t>Food and Beverage</t>
  </si>
  <si>
    <t>Rental Space and Facilities</t>
  </si>
  <si>
    <t>Deliveries</t>
  </si>
  <si>
    <t xml:space="preserve">Printing and Reproduction Services </t>
  </si>
  <si>
    <t xml:space="preserve">Carry Forward  
HSC 610300 10009 </t>
  </si>
  <si>
    <t>UMSA  
Submitted Thru Foundation w/UMSA noted</t>
  </si>
  <si>
    <t>Foundation 
110590</t>
  </si>
  <si>
    <t>E&amp;G 
 HSC 10000 682500</t>
  </si>
  <si>
    <t>Dual License Membership Fees</t>
  </si>
  <si>
    <t>Scholarships Photobooks</t>
  </si>
  <si>
    <t>General Expenses</t>
  </si>
  <si>
    <t>TY
notecards</t>
  </si>
  <si>
    <t>TY
Postcards</t>
  </si>
  <si>
    <t>Scholarship TY
Cards</t>
  </si>
  <si>
    <t>1st Time Donor Cards</t>
  </si>
  <si>
    <t>Misc. - Parking, Cab fare, portage</t>
  </si>
  <si>
    <t>Grateful Patient</t>
  </si>
  <si>
    <t>Regional Alumni Receptions</t>
  </si>
  <si>
    <t>Homecoming Tailgate</t>
  </si>
  <si>
    <t>.</t>
  </si>
  <si>
    <t>Registration/ Dues/ Memberships</t>
  </si>
  <si>
    <t>Marketing Expense</t>
  </si>
  <si>
    <t>UMSA                              Submitted Direct Paid</t>
  </si>
  <si>
    <t xml:space="preserve">UMSA Direct </t>
  </si>
  <si>
    <t xml:space="preserve">UMSA via Foundation </t>
  </si>
  <si>
    <t xml:space="preserve">Annual Giving </t>
  </si>
  <si>
    <t>Alumni Events  (5)</t>
  </si>
  <si>
    <t>Student Ambassador</t>
  </si>
  <si>
    <t>Actuals Spring Happy</t>
  </si>
  <si>
    <t>Actuals Donuts w/Dean</t>
  </si>
  <si>
    <t>Pinning Reception Aug</t>
  </si>
  <si>
    <t xml:space="preserve">Pinning Reception May </t>
  </si>
  <si>
    <t>Donuts</t>
  </si>
  <si>
    <t xml:space="preserve">TBD Actuals </t>
  </si>
  <si>
    <t>Homecoming</t>
  </si>
  <si>
    <t>TBD</t>
  </si>
  <si>
    <t>MISC  Printing</t>
  </si>
  <si>
    <t>Kevin Sneed</t>
  </si>
  <si>
    <t>Phone</t>
  </si>
  <si>
    <t>Data</t>
  </si>
  <si>
    <t>Other</t>
  </si>
  <si>
    <t>Patricia Shirley</t>
  </si>
  <si>
    <t>Jessica Martinez</t>
  </si>
  <si>
    <t xml:space="preserve">Valerie Riddle </t>
  </si>
  <si>
    <t>UMSA Direct</t>
  </si>
  <si>
    <t>Atlanta Actuals</t>
  </si>
  <si>
    <t>Supply Equip - Uniforms</t>
  </si>
  <si>
    <t>Sofia Zaronias</t>
  </si>
  <si>
    <t>Anne Timmel</t>
  </si>
  <si>
    <t>Arthur Santos</t>
  </si>
  <si>
    <t xml:space="preserve">Leslie Anderson-Schipani </t>
  </si>
  <si>
    <t xml:space="preserve">Projections                               </t>
  </si>
  <si>
    <t xml:space="preserve">Actuals  </t>
  </si>
  <si>
    <t xml:space="preserve">HSC 10009 610300               Carry Forward </t>
  </si>
  <si>
    <t xml:space="preserve">Phillip McEuen </t>
  </si>
  <si>
    <t xml:space="preserve"> Ashley Souza Gerb</t>
  </si>
  <si>
    <t xml:space="preserve">
Mark Ketterer</t>
  </si>
  <si>
    <t xml:space="preserve">Retired Faculty </t>
  </si>
  <si>
    <t>printing</t>
  </si>
  <si>
    <t xml:space="preserve">Projection </t>
  </si>
  <si>
    <t xml:space="preserve">Actual </t>
  </si>
  <si>
    <t>Health Collateral Video</t>
  </si>
  <si>
    <t xml:space="preserve">Joanne Sullivan </t>
  </si>
  <si>
    <t xml:space="preserve">Move and Reno </t>
  </si>
  <si>
    <t xml:space="preserve">Wiring </t>
  </si>
  <si>
    <t xml:space="preserve">Printing </t>
  </si>
  <si>
    <t>Boot camp</t>
  </si>
  <si>
    <t xml:space="preserve">Department Related Function </t>
  </si>
  <si>
    <t xml:space="preserve">  Jennifer Burger</t>
  </si>
  <si>
    <t>Katharine Dorsey</t>
  </si>
  <si>
    <t xml:space="preserve">Daniel Kahl                         </t>
  </si>
  <si>
    <t xml:space="preserve">Director of Development    </t>
  </si>
  <si>
    <t>Kathleen Curp</t>
  </si>
  <si>
    <t>Principal and Major</t>
  </si>
  <si>
    <t xml:space="preserve">Actuals  Leaders in Care </t>
  </si>
  <si>
    <t xml:space="preserve">2020 Health Scholarship Reception "Elevate" Stewardship </t>
  </si>
  <si>
    <t>Dan Minor</t>
  </si>
  <si>
    <t>Projection               FY19-20</t>
  </si>
  <si>
    <t xml:space="preserve">MCOM Reunion Alumni 2019
</t>
  </si>
  <si>
    <t>2020 MCOM Commencement &amp; Distinguished Awards</t>
  </si>
  <si>
    <t>MCOM Reunion                                                    2020</t>
  </si>
  <si>
    <t xml:space="preserve">Social Media </t>
  </si>
  <si>
    <t>Communications &amp; Marketing Intern</t>
  </si>
  <si>
    <t>YTD                     actuals                     FY19-20</t>
  </si>
  <si>
    <t xml:space="preserve">Development collateral </t>
  </si>
  <si>
    <t>Misc. - Parking, Cab fare, Portage</t>
  </si>
  <si>
    <t xml:space="preserve">Name your room </t>
  </si>
  <si>
    <t>name room 1</t>
  </si>
  <si>
    <t>Target Reports</t>
  </si>
  <si>
    <t xml:space="preserve">Patient Engagement Direct Mail </t>
  </si>
  <si>
    <t>Patient Engagement Collateral</t>
  </si>
  <si>
    <t>name room 3</t>
  </si>
  <si>
    <t>name room 2</t>
  </si>
  <si>
    <t xml:space="preserve">Wealth engine </t>
  </si>
  <si>
    <t>Conferences</t>
  </si>
  <si>
    <t>Supplies</t>
  </si>
  <si>
    <t>Repairs</t>
  </si>
  <si>
    <t>No space expansion</t>
  </si>
  <si>
    <t>PEP Direct Mail</t>
  </si>
  <si>
    <t>Per Diem</t>
  </si>
  <si>
    <t>Air Fare</t>
  </si>
  <si>
    <t>2019  MCOM Commencement &amp; Distinguished Awards</t>
  </si>
  <si>
    <t>Staff Insurance</t>
  </si>
  <si>
    <t>Furniture</t>
  </si>
  <si>
    <t>Annual Appeals &amp; Direct Mail Solicitations</t>
  </si>
  <si>
    <t>Women’s Health</t>
  </si>
  <si>
    <t>DO travel/expense budgets ($500 each from Kara, Ashley M., Wyndham and Sofia)</t>
  </si>
  <si>
    <t>Remodel</t>
  </si>
  <si>
    <t>MCOM Alumni</t>
  </si>
  <si>
    <t>MCOM Alumni Print Newsletter (dropping from bi-annually to one per year)</t>
  </si>
  <si>
    <t>Alumni Board and Committee Meetings</t>
  </si>
  <si>
    <t>2020 MCOM Commencement &amp; Distinguished Awards    </t>
  </si>
  <si>
    <t>Cathy’s travel/expense budget</t>
  </si>
  <si>
    <t>Major Gift</t>
  </si>
  <si>
    <t>DO travel/expense budgets</t>
  </si>
  <si>
    <t xml:space="preserve">New DO </t>
  </si>
  <si>
    <t>Professional dues</t>
  </si>
  <si>
    <t>Neuro Collateral</t>
  </si>
  <si>
    <t>Neuro Board</t>
  </si>
  <si>
    <t>Courier</t>
  </si>
  <si>
    <t>Stewardship</t>
  </si>
  <si>
    <t>Video</t>
  </si>
  <si>
    <t>Communications Subscriptions - Constant Contact</t>
  </si>
  <si>
    <t>Social Media</t>
  </si>
  <si>
    <t>Travel and Expense</t>
  </si>
  <si>
    <t>AVP</t>
  </si>
  <si>
    <t>Team snacks</t>
  </si>
  <si>
    <t>Professional services</t>
  </si>
  <si>
    <t>Computers</t>
  </si>
  <si>
    <t xml:space="preserve">Lightning </t>
  </si>
  <si>
    <t>Corporate Affinity</t>
  </si>
  <si>
    <t>Expense Cuts Total</t>
  </si>
  <si>
    <t>Sporting Events  Suites</t>
  </si>
  <si>
    <t>Jo Callender</t>
  </si>
  <si>
    <t>Approved      FY18-19</t>
  </si>
  <si>
    <t xml:space="preserve">Sponsorships </t>
  </si>
  <si>
    <t xml:space="preserve">UMSA Credit Card Expenses </t>
  </si>
  <si>
    <t xml:space="preserve">UMSa Credit Card Expenses </t>
  </si>
  <si>
    <t>Pharmacy Announcement  for COP</t>
  </si>
  <si>
    <t>LIFT</t>
  </si>
  <si>
    <t>Lift 
310042</t>
  </si>
  <si>
    <t xml:space="preserve">UMSA Credit Cards </t>
  </si>
  <si>
    <t>Bi-Annual Alumni Print Newsletter ( bulletin)</t>
  </si>
  <si>
    <t>Materials, Supplies and Equip Other</t>
  </si>
  <si>
    <t>balanced</t>
  </si>
  <si>
    <t xml:space="preserve">Career Panel </t>
  </si>
  <si>
    <t>High Tea</t>
  </si>
  <si>
    <t>Kick off</t>
  </si>
  <si>
    <t>Pharmacy Announcment</t>
  </si>
  <si>
    <t>other</t>
  </si>
  <si>
    <t xml:space="preserve">Lodging Expense </t>
  </si>
  <si>
    <t>100+</t>
  </si>
  <si>
    <t xml:space="preserve"> </t>
  </si>
  <si>
    <t>UMSA   Submitted Direct Paid</t>
  </si>
  <si>
    <t>UMSA  Submitted Thru Foundation w/UMSA noted</t>
  </si>
  <si>
    <t>Foundation 310005 
(Event's fund)</t>
  </si>
  <si>
    <t xml:space="preserve">Foundation 310012 
(Website)                       </t>
  </si>
  <si>
    <t>UMSA Submitted Direct Paid</t>
  </si>
  <si>
    <t>Approved    FY18-19</t>
  </si>
  <si>
    <t>Gordon Keller</t>
  </si>
  <si>
    <t>HSC 682500-01533</t>
  </si>
  <si>
    <t>Lecture</t>
  </si>
  <si>
    <t>Happy Hour</t>
  </si>
  <si>
    <t>Homecoming 2020</t>
  </si>
  <si>
    <t>Stationary and Envelopes</t>
  </si>
  <si>
    <t>MCOM Website</t>
  </si>
  <si>
    <t>Alumni and Donor Trinkets</t>
  </si>
  <si>
    <t>Community Relations and Philanthropy</t>
  </si>
  <si>
    <t xml:space="preserve">Approved
FY 19-20 </t>
  </si>
  <si>
    <t>Submitted
FY 19 -21</t>
  </si>
  <si>
    <t>Curp</t>
  </si>
  <si>
    <t>UMSA +UMSA via Fnd</t>
  </si>
  <si>
    <t>Credit Card Fees</t>
  </si>
  <si>
    <t xml:space="preserve">Adjusted all but rent  - work with Patti </t>
  </si>
  <si>
    <t xml:space="preserve">APHA Reception </t>
  </si>
  <si>
    <t>COP</t>
  </si>
  <si>
    <t>CON Leaders in Care</t>
  </si>
  <si>
    <t xml:space="preserve">COPH Appeal </t>
  </si>
  <si>
    <t xml:space="preserve">Biomedical Science - Scholarship </t>
  </si>
  <si>
    <t xml:space="preserve">50 yr Anniversary </t>
  </si>
  <si>
    <t xml:space="preserve">Advertising
sponsored posts and Texting Base </t>
  </si>
  <si>
    <t xml:space="preserve">These are facebook ads </t>
  </si>
  <si>
    <t xml:space="preserve">Women's Health PEP </t>
  </si>
  <si>
    <t xml:space="preserve">MCOM Dean's Reception </t>
  </si>
  <si>
    <t>Homecoming Tailgate 2020</t>
  </si>
  <si>
    <t>White Coat 2021</t>
  </si>
  <si>
    <t xml:space="preserve"> MD White Coat 2020</t>
  </si>
  <si>
    <t>Women's Health Collaborative 
( 310024)</t>
  </si>
  <si>
    <t xml:space="preserve">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</si>
</sst>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[$-409]mmm\-yy;@"/>
    <numFmt numFmtId="166" formatCode="0.00_)"/>
    <numFmt numFmtId="167" formatCode="&quot;$&quot;#,##0"/>
    <numFmt numFmtId="168" formatCode="0.00_);[Red]\(0.00\)"/>
  </numFmts>
  <fonts count="6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rgb="FF00B050"/>
      <name val="Calibri"/>
      <family val="2"/>
      <scheme val="minor"/>
    </font>
    <font>
      <b/>
      <sz val="9"/>
      <color rgb="FF00B050"/>
      <name val="Calibri"/>
      <family val="2"/>
      <scheme val="minor"/>
    </font>
    <font>
      <sz val="10"/>
      <name val="Arial"/>
      <family val="2"/>
    </font>
    <font>
      <sz val="10"/>
      <name val="Arial Unicode MS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rgb="FFFF000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Arial Unicode MS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Helv"/>
    </font>
    <font>
      <sz val="12"/>
      <name val="SWISS"/>
    </font>
    <font>
      <sz val="8"/>
      <name val="Calibri"/>
      <family val="2"/>
      <scheme val="minor"/>
    </font>
    <font>
      <sz val="9"/>
      <color theme="1"/>
      <name val="Goudy Old Style"/>
      <family val="1"/>
    </font>
    <font>
      <b/>
      <sz val="9"/>
      <color rgb="FF000000"/>
      <name val="Goudy Old Style"/>
      <family val="1"/>
    </font>
    <font>
      <b/>
      <sz val="9"/>
      <color rgb="FFFF0000"/>
      <name val="Goudy Old Style"/>
      <family val="1"/>
    </font>
    <font>
      <b/>
      <sz val="9"/>
      <name val="Goudy Old Style"/>
      <family val="1"/>
    </font>
    <font>
      <b/>
      <sz val="9"/>
      <color theme="1"/>
      <name val="Goudy Old Style"/>
      <family val="1"/>
    </font>
    <font>
      <sz val="9"/>
      <color rgb="FF000000"/>
      <name val="Goudy Old Style"/>
      <family val="1"/>
    </font>
    <font>
      <sz val="9"/>
      <color rgb="FFFF0000"/>
      <name val="Goudy Old Style"/>
      <family val="1"/>
    </font>
    <font>
      <sz val="9"/>
      <name val="Goudy Old Style"/>
      <family val="1"/>
    </font>
    <font>
      <sz val="9"/>
      <color rgb="FF00B050"/>
      <name val="Goudy Old Style"/>
      <family val="1"/>
    </font>
    <font>
      <sz val="9"/>
      <color rgb="FFFF0000"/>
      <name val="Calibri"/>
      <family val="2"/>
      <scheme val="minor"/>
    </font>
    <font>
      <strike/>
      <sz val="9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450995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b/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7" tint="-0.249977111117893"/>
      <name val="Calibri"/>
      <family val="2"/>
      <scheme val="minor"/>
    </font>
    <font>
      <b/>
      <sz val="11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darkUp">
        <fgColor indexed="0"/>
        <bgColor indexed="0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</patternFill>
    </fill>
    <fill>
      <patternFill patternType="solid">
        <fgColor rgb="FFFDE9D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B1CF5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</fills>
  <borders count="4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/>
      <diagonal style="double">
        <color indexed="0"/>
      </diagonal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194">
    <xf numFmtId="0" fontId="0" fillId="0" borderId="0"/>
    <xf numFmtId="44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4" fontId="13" fillId="0" borderId="0" applyFont="0" applyFill="0" applyBorder="0" applyAlignment="0" applyProtection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10" borderId="13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21" fillId="14" borderId="0" applyNumberFormat="0" applyBorder="0" applyAlignment="0" applyProtection="0"/>
    <xf numFmtId="0" fontId="21" fillId="17" borderId="0" applyNumberFormat="0" applyBorder="0" applyAlignment="0" applyProtection="0"/>
    <xf numFmtId="0" fontId="21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8" borderId="0" applyNumberFormat="0" applyBorder="0" applyAlignment="0" applyProtection="0"/>
    <xf numFmtId="0" fontId="23" fillId="12" borderId="0" applyNumberFormat="0" applyBorder="0" applyAlignment="0" applyProtection="0"/>
    <xf numFmtId="0" fontId="24" fillId="29" borderId="14" applyNumberFormat="0" applyAlignment="0" applyProtection="0"/>
    <xf numFmtId="0" fontId="25" fillId="30" borderId="15" applyNumberFormat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9" fontId="20" fillId="31" borderId="16" applyAlignment="0" applyProtection="0"/>
    <xf numFmtId="43" fontId="13" fillId="0" borderId="0" applyFont="0" applyFill="0" applyBorder="0" applyAlignment="0" applyProtection="0"/>
    <xf numFmtId="22" fontId="14" fillId="0" borderId="0" applyFont="0" applyAlignment="0" applyProtection="0"/>
    <xf numFmtId="22" fontId="14" fillId="0" borderId="0" applyFont="0" applyAlignment="0" applyProtection="0"/>
    <xf numFmtId="0" fontId="26" fillId="0" borderId="0" applyNumberFormat="0" applyFill="0" applyBorder="0" applyAlignment="0" applyProtection="0"/>
    <xf numFmtId="0" fontId="27" fillId="13" borderId="0" applyNumberFormat="0" applyBorder="0" applyAlignment="0" applyProtection="0"/>
    <xf numFmtId="0" fontId="28" fillId="0" borderId="17" applyNumberFormat="0" applyFill="0" applyAlignment="0" applyProtection="0"/>
    <xf numFmtId="0" fontId="29" fillId="0" borderId="18" applyNumberFormat="0" applyFill="0" applyAlignment="0" applyProtection="0"/>
    <xf numFmtId="0" fontId="30" fillId="0" borderId="19" applyNumberFormat="0" applyFill="0" applyAlignment="0" applyProtection="0"/>
    <xf numFmtId="0" fontId="30" fillId="0" borderId="0" applyNumberFormat="0" applyFill="0" applyBorder="0" applyAlignment="0" applyProtection="0"/>
    <xf numFmtId="0" fontId="31" fillId="16" borderId="14" applyNumberFormat="0" applyAlignment="0" applyProtection="0"/>
    <xf numFmtId="0" fontId="32" fillId="0" borderId="20" applyNumberFormat="0" applyFill="0" applyAlignment="0" applyProtection="0"/>
    <xf numFmtId="0" fontId="33" fillId="32" borderId="0" applyNumberFormat="0" applyBorder="0" applyAlignment="0" applyProtection="0"/>
    <xf numFmtId="0" fontId="13" fillId="0" borderId="0"/>
    <xf numFmtId="0" fontId="14" fillId="10" borderId="13"/>
    <xf numFmtId="0" fontId="14" fillId="10" borderId="13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4" fillId="33" borderId="21" applyNumberFormat="0" applyFont="0" applyAlignment="0" applyProtection="0"/>
    <xf numFmtId="0" fontId="34" fillId="29" borderId="22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23" applyNumberFormat="0" applyFill="0" applyAlignment="0" applyProtection="0"/>
    <xf numFmtId="0" fontId="37" fillId="0" borderId="0" applyNumberFormat="0" applyFill="0" applyBorder="0" applyAlignment="0" applyProtection="0"/>
    <xf numFmtId="0" fontId="14" fillId="10" borderId="13"/>
    <xf numFmtId="0" fontId="14" fillId="0" borderId="0"/>
    <xf numFmtId="0" fontId="14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4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4" fillId="29" borderId="14" applyNumberFormat="0" applyAlignment="0" applyProtection="0"/>
    <xf numFmtId="0" fontId="24" fillId="29" borderId="14" applyNumberFormat="0" applyAlignment="0" applyProtection="0"/>
    <xf numFmtId="0" fontId="24" fillId="29" borderId="14" applyNumberFormat="0" applyAlignment="0" applyProtection="0"/>
    <xf numFmtId="0" fontId="24" fillId="29" borderId="14" applyNumberFormat="0" applyAlignment="0" applyProtection="0"/>
    <xf numFmtId="0" fontId="24" fillId="29" borderId="14" applyNumberFormat="0" applyAlignment="0" applyProtection="0"/>
    <xf numFmtId="0" fontId="24" fillId="29" borderId="14" applyNumberFormat="0" applyAlignment="0" applyProtection="0"/>
    <xf numFmtId="0" fontId="24" fillId="29" borderId="14" applyNumberFormat="0" applyAlignment="0" applyProtection="0"/>
    <xf numFmtId="0" fontId="24" fillId="29" borderId="14" applyNumberFormat="0" applyAlignment="0" applyProtection="0"/>
    <xf numFmtId="0" fontId="24" fillId="29" borderId="14" applyNumberFormat="0" applyAlignment="0" applyProtection="0"/>
    <xf numFmtId="0" fontId="24" fillId="29" borderId="14" applyNumberFormat="0" applyAlignment="0" applyProtection="0"/>
    <xf numFmtId="0" fontId="24" fillId="29" borderId="14" applyNumberFormat="0" applyAlignment="0" applyProtection="0"/>
    <xf numFmtId="0" fontId="24" fillId="29" borderId="14" applyNumberFormat="0" applyAlignment="0" applyProtection="0"/>
    <xf numFmtId="0" fontId="24" fillId="29" borderId="14" applyNumberFormat="0" applyAlignment="0" applyProtection="0"/>
    <xf numFmtId="0" fontId="24" fillId="29" borderId="14" applyNumberFormat="0" applyAlignment="0" applyProtection="0"/>
    <xf numFmtId="0" fontId="24" fillId="29" borderId="14" applyNumberFormat="0" applyAlignment="0" applyProtection="0"/>
    <xf numFmtId="0" fontId="25" fillId="30" borderId="15" applyNumberFormat="0" applyAlignment="0" applyProtection="0"/>
    <xf numFmtId="0" fontId="25" fillId="30" borderId="15" applyNumberFormat="0" applyAlignment="0" applyProtection="0"/>
    <xf numFmtId="0" fontId="25" fillId="30" borderId="15" applyNumberFormat="0" applyAlignment="0" applyProtection="0"/>
    <xf numFmtId="0" fontId="25" fillId="30" borderId="15" applyNumberFormat="0" applyAlignment="0" applyProtection="0"/>
    <xf numFmtId="0" fontId="25" fillId="30" borderId="15" applyNumberFormat="0" applyAlignment="0" applyProtection="0"/>
    <xf numFmtId="0" fontId="25" fillId="30" borderId="15" applyNumberFormat="0" applyAlignment="0" applyProtection="0"/>
    <xf numFmtId="0" fontId="25" fillId="30" borderId="15" applyNumberFormat="0" applyAlignment="0" applyProtection="0"/>
    <xf numFmtId="0" fontId="25" fillId="30" borderId="15" applyNumberFormat="0" applyAlignment="0" applyProtection="0"/>
    <xf numFmtId="0" fontId="25" fillId="30" borderId="15" applyNumberFormat="0" applyAlignment="0" applyProtection="0"/>
    <xf numFmtId="0" fontId="25" fillId="30" borderId="15" applyNumberFormat="0" applyAlignment="0" applyProtection="0"/>
    <xf numFmtId="0" fontId="25" fillId="30" borderId="15" applyNumberFormat="0" applyAlignment="0" applyProtection="0"/>
    <xf numFmtId="0" fontId="25" fillId="30" borderId="15" applyNumberFormat="0" applyAlignment="0" applyProtection="0"/>
    <xf numFmtId="0" fontId="25" fillId="30" borderId="15" applyNumberFormat="0" applyAlignment="0" applyProtection="0"/>
    <xf numFmtId="0" fontId="25" fillId="30" borderId="15" applyNumberFormat="0" applyAlignment="0" applyProtection="0"/>
    <xf numFmtId="0" fontId="25" fillId="30" borderId="15" applyNumberFormat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9" fontId="20" fillId="31" borderId="16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8" fillId="0" borderId="17" applyNumberFormat="0" applyFill="0" applyAlignment="0" applyProtection="0"/>
    <xf numFmtId="0" fontId="28" fillId="0" borderId="17" applyNumberFormat="0" applyFill="0" applyAlignment="0" applyProtection="0"/>
    <xf numFmtId="0" fontId="28" fillId="0" borderId="17" applyNumberFormat="0" applyFill="0" applyAlignment="0" applyProtection="0"/>
    <xf numFmtId="0" fontId="28" fillId="0" borderId="17" applyNumberFormat="0" applyFill="0" applyAlignment="0" applyProtection="0"/>
    <xf numFmtId="0" fontId="28" fillId="0" borderId="17" applyNumberFormat="0" applyFill="0" applyAlignment="0" applyProtection="0"/>
    <xf numFmtId="0" fontId="28" fillId="0" borderId="17" applyNumberFormat="0" applyFill="0" applyAlignment="0" applyProtection="0"/>
    <xf numFmtId="0" fontId="28" fillId="0" borderId="17" applyNumberFormat="0" applyFill="0" applyAlignment="0" applyProtection="0"/>
    <xf numFmtId="0" fontId="28" fillId="0" borderId="17" applyNumberFormat="0" applyFill="0" applyAlignment="0" applyProtection="0"/>
    <xf numFmtId="0" fontId="28" fillId="0" borderId="17" applyNumberFormat="0" applyFill="0" applyAlignment="0" applyProtection="0"/>
    <xf numFmtId="0" fontId="28" fillId="0" borderId="17" applyNumberFormat="0" applyFill="0" applyAlignment="0" applyProtection="0"/>
    <xf numFmtId="0" fontId="28" fillId="0" borderId="17" applyNumberFormat="0" applyFill="0" applyAlignment="0" applyProtection="0"/>
    <xf numFmtId="0" fontId="28" fillId="0" borderId="17" applyNumberFormat="0" applyFill="0" applyAlignment="0" applyProtection="0"/>
    <xf numFmtId="0" fontId="28" fillId="0" borderId="17" applyNumberFormat="0" applyFill="0" applyAlignment="0" applyProtection="0"/>
    <xf numFmtId="0" fontId="28" fillId="0" borderId="17" applyNumberFormat="0" applyFill="0" applyAlignment="0" applyProtection="0"/>
    <xf numFmtId="0" fontId="28" fillId="0" borderId="17" applyNumberFormat="0" applyFill="0" applyAlignment="0" applyProtection="0"/>
    <xf numFmtId="0" fontId="29" fillId="0" borderId="18" applyNumberFormat="0" applyFill="0" applyAlignment="0" applyProtection="0"/>
    <xf numFmtId="0" fontId="29" fillId="0" borderId="18" applyNumberFormat="0" applyFill="0" applyAlignment="0" applyProtection="0"/>
    <xf numFmtId="0" fontId="29" fillId="0" borderId="18" applyNumberFormat="0" applyFill="0" applyAlignment="0" applyProtection="0"/>
    <xf numFmtId="0" fontId="29" fillId="0" borderId="18" applyNumberFormat="0" applyFill="0" applyAlignment="0" applyProtection="0"/>
    <xf numFmtId="0" fontId="29" fillId="0" borderId="18" applyNumberFormat="0" applyFill="0" applyAlignment="0" applyProtection="0"/>
    <xf numFmtId="0" fontId="29" fillId="0" borderId="18" applyNumberFormat="0" applyFill="0" applyAlignment="0" applyProtection="0"/>
    <xf numFmtId="0" fontId="29" fillId="0" borderId="18" applyNumberFormat="0" applyFill="0" applyAlignment="0" applyProtection="0"/>
    <xf numFmtId="0" fontId="29" fillId="0" borderId="18" applyNumberFormat="0" applyFill="0" applyAlignment="0" applyProtection="0"/>
    <xf numFmtId="0" fontId="29" fillId="0" borderId="18" applyNumberFormat="0" applyFill="0" applyAlignment="0" applyProtection="0"/>
    <xf numFmtId="0" fontId="29" fillId="0" borderId="18" applyNumberFormat="0" applyFill="0" applyAlignment="0" applyProtection="0"/>
    <xf numFmtId="0" fontId="29" fillId="0" borderId="18" applyNumberFormat="0" applyFill="0" applyAlignment="0" applyProtection="0"/>
    <xf numFmtId="0" fontId="29" fillId="0" borderId="18" applyNumberFormat="0" applyFill="0" applyAlignment="0" applyProtection="0"/>
    <xf numFmtId="0" fontId="29" fillId="0" borderId="18" applyNumberFormat="0" applyFill="0" applyAlignment="0" applyProtection="0"/>
    <xf numFmtId="0" fontId="29" fillId="0" borderId="18" applyNumberFormat="0" applyFill="0" applyAlignment="0" applyProtection="0"/>
    <xf numFmtId="0" fontId="29" fillId="0" borderId="18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16" borderId="14" applyNumberFormat="0" applyAlignment="0" applyProtection="0"/>
    <xf numFmtId="0" fontId="31" fillId="16" borderId="14" applyNumberFormat="0" applyAlignment="0" applyProtection="0"/>
    <xf numFmtId="0" fontId="31" fillId="16" borderId="14" applyNumberFormat="0" applyAlignment="0" applyProtection="0"/>
    <xf numFmtId="0" fontId="31" fillId="16" borderId="14" applyNumberFormat="0" applyAlignment="0" applyProtection="0"/>
    <xf numFmtId="0" fontId="31" fillId="16" borderId="14" applyNumberFormat="0" applyAlignment="0" applyProtection="0"/>
    <xf numFmtId="0" fontId="31" fillId="16" borderId="14" applyNumberFormat="0" applyAlignment="0" applyProtection="0"/>
    <xf numFmtId="0" fontId="31" fillId="16" borderId="14" applyNumberFormat="0" applyAlignment="0" applyProtection="0"/>
    <xf numFmtId="0" fontId="31" fillId="16" borderId="14" applyNumberFormat="0" applyAlignment="0" applyProtection="0"/>
    <xf numFmtId="0" fontId="31" fillId="16" borderId="14" applyNumberFormat="0" applyAlignment="0" applyProtection="0"/>
    <xf numFmtId="0" fontId="31" fillId="16" borderId="14" applyNumberFormat="0" applyAlignment="0" applyProtection="0"/>
    <xf numFmtId="0" fontId="31" fillId="16" borderId="14" applyNumberFormat="0" applyAlignment="0" applyProtection="0"/>
    <xf numFmtId="0" fontId="31" fillId="16" borderId="14" applyNumberFormat="0" applyAlignment="0" applyProtection="0"/>
    <xf numFmtId="0" fontId="31" fillId="16" borderId="14" applyNumberFormat="0" applyAlignment="0" applyProtection="0"/>
    <xf numFmtId="0" fontId="31" fillId="16" borderId="14" applyNumberFormat="0" applyAlignment="0" applyProtection="0"/>
    <xf numFmtId="0" fontId="31" fillId="16" borderId="14" applyNumberFormat="0" applyAlignment="0" applyProtection="0"/>
    <xf numFmtId="0" fontId="32" fillId="0" borderId="20" applyNumberFormat="0" applyFill="0" applyAlignment="0" applyProtection="0"/>
    <xf numFmtId="0" fontId="32" fillId="0" borderId="20" applyNumberFormat="0" applyFill="0" applyAlignment="0" applyProtection="0"/>
    <xf numFmtId="0" fontId="32" fillId="0" borderId="20" applyNumberFormat="0" applyFill="0" applyAlignment="0" applyProtection="0"/>
    <xf numFmtId="0" fontId="32" fillId="0" borderId="20" applyNumberFormat="0" applyFill="0" applyAlignment="0" applyProtection="0"/>
    <xf numFmtId="0" fontId="32" fillId="0" borderId="20" applyNumberFormat="0" applyFill="0" applyAlignment="0" applyProtection="0"/>
    <xf numFmtId="0" fontId="32" fillId="0" borderId="20" applyNumberFormat="0" applyFill="0" applyAlignment="0" applyProtection="0"/>
    <xf numFmtId="0" fontId="32" fillId="0" borderId="20" applyNumberFormat="0" applyFill="0" applyAlignment="0" applyProtection="0"/>
    <xf numFmtId="0" fontId="32" fillId="0" borderId="20" applyNumberFormat="0" applyFill="0" applyAlignment="0" applyProtection="0"/>
    <xf numFmtId="0" fontId="32" fillId="0" borderId="20" applyNumberFormat="0" applyFill="0" applyAlignment="0" applyProtection="0"/>
    <xf numFmtId="0" fontId="32" fillId="0" borderId="20" applyNumberFormat="0" applyFill="0" applyAlignment="0" applyProtection="0"/>
    <xf numFmtId="0" fontId="32" fillId="0" borderId="20" applyNumberFormat="0" applyFill="0" applyAlignment="0" applyProtection="0"/>
    <xf numFmtId="0" fontId="32" fillId="0" borderId="20" applyNumberFormat="0" applyFill="0" applyAlignment="0" applyProtection="0"/>
    <xf numFmtId="0" fontId="32" fillId="0" borderId="20" applyNumberFormat="0" applyFill="0" applyAlignment="0" applyProtection="0"/>
    <xf numFmtId="0" fontId="32" fillId="0" borderId="20" applyNumberFormat="0" applyFill="0" applyAlignment="0" applyProtection="0"/>
    <xf numFmtId="0" fontId="32" fillId="0" borderId="20" applyNumberFormat="0" applyFill="0" applyAlignment="0" applyProtection="0"/>
    <xf numFmtId="0" fontId="33" fillId="32" borderId="0" applyNumberFormat="0" applyBorder="0" applyAlignment="0" applyProtection="0"/>
    <xf numFmtId="0" fontId="33" fillId="32" borderId="0" applyNumberFormat="0" applyBorder="0" applyAlignment="0" applyProtection="0"/>
    <xf numFmtId="0" fontId="33" fillId="32" borderId="0" applyNumberFormat="0" applyBorder="0" applyAlignment="0" applyProtection="0"/>
    <xf numFmtId="0" fontId="33" fillId="32" borderId="0" applyNumberFormat="0" applyBorder="0" applyAlignment="0" applyProtection="0"/>
    <xf numFmtId="0" fontId="33" fillId="32" borderId="0" applyNumberFormat="0" applyBorder="0" applyAlignment="0" applyProtection="0"/>
    <xf numFmtId="0" fontId="33" fillId="32" borderId="0" applyNumberFormat="0" applyBorder="0" applyAlignment="0" applyProtection="0"/>
    <xf numFmtId="0" fontId="33" fillId="32" borderId="0" applyNumberFormat="0" applyBorder="0" applyAlignment="0" applyProtection="0"/>
    <xf numFmtId="0" fontId="33" fillId="32" borderId="0" applyNumberFormat="0" applyBorder="0" applyAlignment="0" applyProtection="0"/>
    <xf numFmtId="0" fontId="33" fillId="32" borderId="0" applyNumberFormat="0" applyBorder="0" applyAlignment="0" applyProtection="0"/>
    <xf numFmtId="0" fontId="33" fillId="32" borderId="0" applyNumberFormat="0" applyBorder="0" applyAlignment="0" applyProtection="0"/>
    <xf numFmtId="0" fontId="33" fillId="32" borderId="0" applyNumberFormat="0" applyBorder="0" applyAlignment="0" applyProtection="0"/>
    <xf numFmtId="0" fontId="33" fillId="32" borderId="0" applyNumberFormat="0" applyBorder="0" applyAlignment="0" applyProtection="0"/>
    <xf numFmtId="0" fontId="33" fillId="32" borderId="0" applyNumberFormat="0" applyBorder="0" applyAlignment="0" applyProtection="0"/>
    <xf numFmtId="0" fontId="33" fillId="32" borderId="0" applyNumberFormat="0" applyBorder="0" applyAlignment="0" applyProtection="0"/>
    <xf numFmtId="0" fontId="33" fillId="32" borderId="0" applyNumberFormat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0" fontId="21" fillId="0" borderId="0"/>
    <xf numFmtId="0" fontId="1" fillId="0" borderId="0"/>
    <xf numFmtId="165" fontId="38" fillId="0" borderId="0"/>
    <xf numFmtId="0" fontId="14" fillId="10" borderId="13"/>
    <xf numFmtId="0" fontId="39" fillId="34" borderId="0" applyFont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0" fontId="1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0" fontId="13" fillId="0" borderId="0"/>
    <xf numFmtId="165" fontId="38" fillId="0" borderId="0"/>
    <xf numFmtId="165" fontId="38" fillId="0" borderId="0"/>
    <xf numFmtId="166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0" fontId="13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0" fontId="13" fillId="0" borderId="0"/>
    <xf numFmtId="0" fontId="13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0" fontId="14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0" fontId="14" fillId="0" borderId="0"/>
    <xf numFmtId="0" fontId="21" fillId="33" borderId="21" applyNumberFormat="0" applyFont="0" applyAlignment="0" applyProtection="0"/>
    <xf numFmtId="0" fontId="21" fillId="33" borderId="21" applyNumberFormat="0" applyFont="0" applyAlignment="0" applyProtection="0"/>
    <xf numFmtId="0" fontId="21" fillId="33" borderId="21" applyNumberFormat="0" applyFont="0" applyAlignment="0" applyProtection="0"/>
    <xf numFmtId="0" fontId="21" fillId="33" borderId="21" applyNumberFormat="0" applyFont="0" applyAlignment="0" applyProtection="0"/>
    <xf numFmtId="0" fontId="21" fillId="33" borderId="21" applyNumberFormat="0" applyFont="0" applyAlignment="0" applyProtection="0"/>
    <xf numFmtId="0" fontId="21" fillId="33" borderId="21" applyNumberFormat="0" applyFont="0" applyAlignment="0" applyProtection="0"/>
    <xf numFmtId="0" fontId="21" fillId="33" borderId="21" applyNumberFormat="0" applyFont="0" applyAlignment="0" applyProtection="0"/>
    <xf numFmtId="0" fontId="21" fillId="33" borderId="21" applyNumberFormat="0" applyFont="0" applyAlignment="0" applyProtection="0"/>
    <xf numFmtId="0" fontId="21" fillId="33" borderId="21" applyNumberFormat="0" applyFont="0" applyAlignment="0" applyProtection="0"/>
    <xf numFmtId="0" fontId="21" fillId="33" borderId="21" applyNumberFormat="0" applyFont="0" applyAlignment="0" applyProtection="0"/>
    <xf numFmtId="0" fontId="21" fillId="33" borderId="21" applyNumberFormat="0" applyFont="0" applyAlignment="0" applyProtection="0"/>
    <xf numFmtId="0" fontId="21" fillId="33" borderId="21" applyNumberFormat="0" applyFont="0" applyAlignment="0" applyProtection="0"/>
    <xf numFmtId="0" fontId="21" fillId="33" borderId="21" applyNumberFormat="0" applyFont="0" applyAlignment="0" applyProtection="0"/>
    <xf numFmtId="0" fontId="21" fillId="33" borderId="21" applyNumberFormat="0" applyFont="0" applyAlignment="0" applyProtection="0"/>
    <xf numFmtId="0" fontId="21" fillId="33" borderId="21" applyNumberFormat="0" applyFont="0" applyAlignment="0" applyProtection="0"/>
    <xf numFmtId="0" fontId="34" fillId="29" borderId="22" applyNumberFormat="0" applyAlignment="0" applyProtection="0"/>
    <xf numFmtId="0" fontId="34" fillId="29" borderId="22" applyNumberFormat="0" applyAlignment="0" applyProtection="0"/>
    <xf numFmtId="0" fontId="34" fillId="29" borderId="22" applyNumberFormat="0" applyAlignment="0" applyProtection="0"/>
    <xf numFmtId="0" fontId="34" fillId="29" borderId="22" applyNumberFormat="0" applyAlignment="0" applyProtection="0"/>
    <xf numFmtId="0" fontId="34" fillId="29" borderId="22" applyNumberFormat="0" applyAlignment="0" applyProtection="0"/>
    <xf numFmtId="0" fontId="34" fillId="29" borderId="22" applyNumberFormat="0" applyAlignment="0" applyProtection="0"/>
    <xf numFmtId="0" fontId="34" fillId="29" borderId="22" applyNumberFormat="0" applyAlignment="0" applyProtection="0"/>
    <xf numFmtId="0" fontId="34" fillId="29" borderId="22" applyNumberFormat="0" applyAlignment="0" applyProtection="0"/>
    <xf numFmtId="0" fontId="34" fillId="29" borderId="22" applyNumberFormat="0" applyAlignment="0" applyProtection="0"/>
    <xf numFmtId="0" fontId="34" fillId="29" borderId="22" applyNumberFormat="0" applyAlignment="0" applyProtection="0"/>
    <xf numFmtId="0" fontId="34" fillId="29" borderId="22" applyNumberFormat="0" applyAlignment="0" applyProtection="0"/>
    <xf numFmtId="0" fontId="34" fillId="29" borderId="22" applyNumberFormat="0" applyAlignment="0" applyProtection="0"/>
    <xf numFmtId="0" fontId="34" fillId="29" borderId="22" applyNumberFormat="0" applyAlignment="0" applyProtection="0"/>
    <xf numFmtId="0" fontId="34" fillId="29" borderId="22" applyNumberFormat="0" applyAlignment="0" applyProtection="0"/>
    <xf numFmtId="0" fontId="34" fillId="29" borderId="22" applyNumberFormat="0" applyAlignment="0" applyProtection="0"/>
    <xf numFmtId="19" fontId="14" fillId="0" borderId="0" applyFont="0" applyAlignment="0" applyProtection="0"/>
    <xf numFmtId="9" fontId="20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23" applyNumberFormat="0" applyFill="0" applyAlignment="0" applyProtection="0"/>
    <xf numFmtId="0" fontId="36" fillId="0" borderId="23" applyNumberFormat="0" applyFill="0" applyAlignment="0" applyProtection="0"/>
    <xf numFmtId="0" fontId="36" fillId="0" borderId="23" applyNumberFormat="0" applyFill="0" applyAlignment="0" applyProtection="0"/>
    <xf numFmtId="0" fontId="36" fillId="0" borderId="23" applyNumberFormat="0" applyFill="0" applyAlignment="0" applyProtection="0"/>
    <xf numFmtId="0" fontId="36" fillId="0" borderId="23" applyNumberFormat="0" applyFill="0" applyAlignment="0" applyProtection="0"/>
    <xf numFmtId="0" fontId="36" fillId="0" borderId="23" applyNumberFormat="0" applyFill="0" applyAlignment="0" applyProtection="0"/>
    <xf numFmtId="0" fontId="36" fillId="0" borderId="23" applyNumberFormat="0" applyFill="0" applyAlignment="0" applyProtection="0"/>
    <xf numFmtId="0" fontId="36" fillId="0" borderId="23" applyNumberFormat="0" applyFill="0" applyAlignment="0" applyProtection="0"/>
    <xf numFmtId="0" fontId="36" fillId="0" borderId="23" applyNumberFormat="0" applyFill="0" applyAlignment="0" applyProtection="0"/>
    <xf numFmtId="0" fontId="36" fillId="0" borderId="23" applyNumberFormat="0" applyFill="0" applyAlignment="0" applyProtection="0"/>
    <xf numFmtId="0" fontId="36" fillId="0" borderId="23" applyNumberFormat="0" applyFill="0" applyAlignment="0" applyProtection="0"/>
    <xf numFmtId="0" fontId="36" fillId="0" borderId="23" applyNumberFormat="0" applyFill="0" applyAlignment="0" applyProtection="0"/>
    <xf numFmtId="0" fontId="36" fillId="0" borderId="23" applyNumberFormat="0" applyFill="0" applyAlignment="0" applyProtection="0"/>
    <xf numFmtId="0" fontId="36" fillId="0" borderId="23" applyNumberFormat="0" applyFill="0" applyAlignment="0" applyProtection="0"/>
    <xf numFmtId="0" fontId="36" fillId="0" borderId="23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4" fillId="0" borderId="0"/>
    <xf numFmtId="43" fontId="20" fillId="0" borderId="0" applyFont="0" applyFill="0" applyBorder="0" applyAlignment="0" applyProtection="0"/>
    <xf numFmtId="9" fontId="1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3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/>
    <xf numFmtId="0" fontId="13" fillId="0" borderId="0"/>
    <xf numFmtId="43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986">
    <xf numFmtId="0" fontId="0" fillId="0" borderId="0" xfId="0"/>
    <xf numFmtId="0" fontId="2" fillId="0" borderId="0" xfId="0" applyFont="1"/>
    <xf numFmtId="8" fontId="5" fillId="0" borderId="0" xfId="1" applyNumberFormat="1" applyFont="1" applyAlignment="1">
      <alignment horizontal="center" vertical="center"/>
    </xf>
    <xf numFmtId="8" fontId="2" fillId="0" borderId="0" xfId="1" applyNumberFormat="1" applyFont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164" fontId="3" fillId="2" borderId="1" xfId="1" applyNumberFormat="1" applyFont="1" applyFill="1" applyBorder="1" applyAlignment="1">
      <alignment horizontal="center" vertical="center"/>
    </xf>
    <xf numFmtId="8" fontId="5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left" vertical="center" wrapText="1"/>
    </xf>
    <xf numFmtId="8" fontId="5" fillId="0" borderId="1" xfId="1" applyNumberFormat="1" applyFont="1" applyBorder="1" applyAlignment="1">
      <alignment horizontal="center" vertical="center"/>
    </xf>
    <xf numFmtId="8" fontId="2" fillId="2" borderId="1" xfId="1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left"/>
    </xf>
    <xf numFmtId="8" fontId="2" fillId="2" borderId="1" xfId="1" applyNumberFormat="1" applyFont="1" applyFill="1" applyBorder="1" applyAlignment="1">
      <alignment horizontal="center" vertical="center"/>
    </xf>
    <xf numFmtId="8" fontId="2" fillId="0" borderId="1" xfId="0" applyNumberFormat="1" applyFont="1" applyBorder="1" applyAlignment="1">
      <alignment horizontal="center" vertical="center"/>
    </xf>
    <xf numFmtId="0" fontId="2" fillId="0" borderId="1" xfId="0" applyFont="1" applyBorder="1"/>
    <xf numFmtId="49" fontId="6" fillId="0" borderId="1" xfId="0" applyNumberFormat="1" applyFont="1" applyBorder="1" applyAlignment="1">
      <alignment horizontal="center" vertical="center"/>
    </xf>
    <xf numFmtId="8" fontId="2" fillId="0" borderId="0" xfId="0" applyNumberFormat="1" applyFont="1"/>
    <xf numFmtId="0" fontId="2" fillId="0" borderId="0" xfId="0" applyFont="1" applyAlignment="1">
      <alignment horizontal="center"/>
    </xf>
    <xf numFmtId="8" fontId="3" fillId="2" borderId="1" xfId="1" applyNumberFormat="1" applyFont="1" applyFill="1" applyBorder="1" applyAlignment="1">
      <alignment horizontal="center" vertical="center"/>
    </xf>
    <xf numFmtId="8" fontId="4" fillId="2" borderId="5" xfId="0" applyNumberFormat="1" applyFont="1" applyFill="1" applyBorder="1" applyAlignment="1">
      <alignment horizontal="center" vertical="center"/>
    </xf>
    <xf numFmtId="8" fontId="4" fillId="3" borderId="5" xfId="0" applyNumberFormat="1" applyFont="1" applyFill="1" applyBorder="1" applyAlignment="1">
      <alignment horizontal="center" vertical="center"/>
    </xf>
    <xf numFmtId="8" fontId="3" fillId="0" borderId="5" xfId="1" applyNumberFormat="1" applyFont="1" applyBorder="1" applyAlignment="1">
      <alignment horizontal="center" vertical="center"/>
    </xf>
    <xf numFmtId="8" fontId="2" fillId="0" borderId="8" xfId="1" applyNumberFormat="1" applyFont="1" applyBorder="1" applyAlignment="1">
      <alignment horizontal="center" vertical="center"/>
    </xf>
    <xf numFmtId="164" fontId="8" fillId="0" borderId="1" xfId="1" applyNumberFormat="1" applyFont="1" applyBorder="1" applyAlignment="1">
      <alignment horizontal="center" vertical="center" wrapText="1"/>
    </xf>
    <xf numFmtId="164" fontId="3" fillId="3" borderId="2" xfId="1" applyNumberFormat="1" applyFont="1" applyFill="1" applyBorder="1" applyAlignment="1">
      <alignment horizontal="center" vertical="center"/>
    </xf>
    <xf numFmtId="8" fontId="2" fillId="3" borderId="2" xfId="1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left" vertical="center"/>
    </xf>
    <xf numFmtId="8" fontId="6" fillId="2" borderId="1" xfId="1" applyNumberFormat="1" applyFont="1" applyFill="1" applyBorder="1" applyAlignment="1">
      <alignment horizontal="center" vertical="center"/>
    </xf>
    <xf numFmtId="8" fontId="2" fillId="3" borderId="2" xfId="1" applyNumberFormat="1" applyFont="1" applyFill="1" applyBorder="1" applyAlignment="1">
      <alignment horizontal="center" vertical="center"/>
    </xf>
    <xf numFmtId="8" fontId="6" fillId="0" borderId="1" xfId="1" applyNumberFormat="1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left"/>
    </xf>
    <xf numFmtId="49" fontId="3" fillId="0" borderId="1" xfId="0" applyNumberFormat="1" applyFont="1" applyBorder="1" applyAlignment="1">
      <alignment horizontal="right"/>
    </xf>
    <xf numFmtId="8" fontId="4" fillId="2" borderId="9" xfId="1" applyNumberFormat="1" applyFont="1" applyFill="1" applyBorder="1" applyAlignment="1">
      <alignment horizontal="center" vertical="center"/>
    </xf>
    <xf numFmtId="8" fontId="4" fillId="3" borderId="10" xfId="1" applyNumberFormat="1" applyFont="1" applyFill="1" applyBorder="1" applyAlignment="1">
      <alignment horizontal="center" vertical="center"/>
    </xf>
    <xf numFmtId="8" fontId="11" fillId="0" borderId="1" xfId="1" applyNumberFormat="1" applyFont="1" applyBorder="1" applyAlignment="1">
      <alignment horizontal="center" vertical="center"/>
    </xf>
    <xf numFmtId="8" fontId="2" fillId="0" borderId="3" xfId="0" applyNumberFormat="1" applyFont="1" applyBorder="1" applyAlignment="1">
      <alignment horizontal="center" vertical="center"/>
    </xf>
    <xf numFmtId="44" fontId="2" fillId="0" borderId="0" xfId="1" applyFont="1"/>
    <xf numFmtId="8" fontId="6" fillId="4" borderId="1" xfId="1" applyNumberFormat="1" applyFont="1" applyFill="1" applyBorder="1" applyAlignment="1">
      <alignment horizontal="center" vertical="center"/>
    </xf>
    <xf numFmtId="8" fontId="3" fillId="3" borderId="2" xfId="1" applyNumberFormat="1" applyFont="1" applyFill="1" applyBorder="1" applyAlignment="1">
      <alignment horizontal="center" vertical="center"/>
    </xf>
    <xf numFmtId="8" fontId="12" fillId="0" borderId="1" xfId="1" applyNumberFormat="1" applyFont="1" applyBorder="1" applyAlignment="1">
      <alignment horizontal="center" vertical="center" wrapText="1"/>
    </xf>
    <xf numFmtId="164" fontId="17" fillId="0" borderId="1" xfId="1" applyNumberFormat="1" applyFont="1" applyBorder="1" applyAlignment="1">
      <alignment horizontal="center" vertical="center" wrapText="1"/>
    </xf>
    <xf numFmtId="8" fontId="6" fillId="9" borderId="1" xfId="1" applyNumberFormat="1" applyFont="1" applyFill="1" applyBorder="1" applyAlignment="1">
      <alignment horizontal="center" vertical="center"/>
    </xf>
    <xf numFmtId="44" fontId="4" fillId="2" borderId="2" xfId="1" applyFont="1" applyFill="1" applyBorder="1" applyAlignment="1">
      <alignment horizontal="center" vertical="center" wrapText="1"/>
    </xf>
    <xf numFmtId="44" fontId="4" fillId="3" borderId="2" xfId="1" applyFont="1" applyFill="1" applyBorder="1" applyAlignment="1">
      <alignment horizontal="center" vertical="center" wrapText="1"/>
    </xf>
    <xf numFmtId="0" fontId="41" fillId="0" borderId="1" xfId="0" applyFont="1" applyBorder="1" applyAlignment="1">
      <alignment horizontal="center" vertical="center"/>
    </xf>
    <xf numFmtId="164" fontId="43" fillId="0" borderId="2" xfId="1" applyNumberFormat="1" applyFont="1" applyBorder="1" applyAlignment="1">
      <alignment horizontal="center" vertical="center" wrapText="1"/>
    </xf>
    <xf numFmtId="0" fontId="45" fillId="0" borderId="1" xfId="0" applyFont="1" applyBorder="1" applyAlignment="1">
      <alignment horizontal="center" vertical="center"/>
    </xf>
    <xf numFmtId="164" fontId="42" fillId="0" borderId="1" xfId="1" applyNumberFormat="1" applyFont="1" applyBorder="1" applyAlignment="1">
      <alignment horizontal="center" vertical="center"/>
    </xf>
    <xf numFmtId="164" fontId="42" fillId="0" borderId="1" xfId="1" applyNumberFormat="1" applyFont="1" applyBorder="1" applyAlignment="1">
      <alignment horizontal="center" vertical="center" wrapText="1"/>
    </xf>
    <xf numFmtId="49" fontId="46" fillId="0" borderId="1" xfId="0" applyNumberFormat="1" applyFont="1" applyBorder="1" applyAlignment="1">
      <alignment horizontal="left" vertical="center" wrapText="1"/>
    </xf>
    <xf numFmtId="164" fontId="45" fillId="2" borderId="1" xfId="0" applyNumberFormat="1" applyFont="1" applyFill="1" applyBorder="1" applyAlignment="1">
      <alignment horizontal="center" vertical="center"/>
    </xf>
    <xf numFmtId="0" fontId="41" fillId="0" borderId="0" xfId="0" applyFont="1"/>
    <xf numFmtId="49" fontId="46" fillId="0" borderId="1" xfId="0" applyNumberFormat="1" applyFont="1" applyBorder="1" applyAlignment="1">
      <alignment horizontal="left"/>
    </xf>
    <xf numFmtId="164" fontId="45" fillId="0" borderId="3" xfId="0" applyNumberFormat="1" applyFont="1" applyBorder="1" applyAlignment="1">
      <alignment horizontal="center" vertical="center"/>
    </xf>
    <xf numFmtId="164" fontId="45" fillId="0" borderId="3" xfId="1" applyNumberFormat="1" applyFont="1" applyBorder="1" applyAlignment="1">
      <alignment horizontal="center" vertical="center"/>
    </xf>
    <xf numFmtId="164" fontId="45" fillId="2" borderId="3" xfId="0" applyNumberFormat="1" applyFont="1" applyFill="1" applyBorder="1" applyAlignment="1">
      <alignment horizontal="center" vertical="center"/>
    </xf>
    <xf numFmtId="164" fontId="45" fillId="0" borderId="1" xfId="1" applyNumberFormat="1" applyFont="1" applyBorder="1" applyAlignment="1">
      <alignment horizontal="center" vertical="center"/>
    </xf>
    <xf numFmtId="44" fontId="41" fillId="0" borderId="0" xfId="1" applyFont="1"/>
    <xf numFmtId="164" fontId="42" fillId="4" borderId="1" xfId="1" applyNumberFormat="1" applyFont="1" applyFill="1" applyBorder="1" applyAlignment="1">
      <alignment horizontal="center" vertical="center" wrapText="1"/>
    </xf>
    <xf numFmtId="164" fontId="42" fillId="2" borderId="1" xfId="1" applyNumberFormat="1" applyFont="1" applyFill="1" applyBorder="1" applyAlignment="1">
      <alignment horizontal="center" vertical="center"/>
    </xf>
    <xf numFmtId="164" fontId="42" fillId="3" borderId="1" xfId="1" applyNumberFormat="1" applyFont="1" applyFill="1" applyBorder="1" applyAlignment="1">
      <alignment horizontal="center" vertical="center"/>
    </xf>
    <xf numFmtId="8" fontId="42" fillId="0" borderId="1" xfId="1" applyNumberFormat="1" applyFont="1" applyBorder="1" applyAlignment="1">
      <alignment horizontal="center" vertical="center" wrapText="1"/>
    </xf>
    <xf numFmtId="8" fontId="42" fillId="0" borderId="1" xfId="1" applyNumberFormat="1" applyFont="1" applyBorder="1" applyAlignment="1">
      <alignment horizontal="center" vertical="center"/>
    </xf>
    <xf numFmtId="8" fontId="44" fillId="0" borderId="33" xfId="0" applyNumberFormat="1" applyFont="1" applyBorder="1" applyAlignment="1">
      <alignment horizontal="center" vertical="center" wrapText="1"/>
    </xf>
    <xf numFmtId="8" fontId="42" fillId="4" borderId="1" xfId="1" applyNumberFormat="1" applyFont="1" applyFill="1" applyBorder="1" applyAlignment="1">
      <alignment horizontal="center" vertical="center" wrapText="1"/>
    </xf>
    <xf numFmtId="8" fontId="42" fillId="3" borderId="1" xfId="1" applyNumberFormat="1" applyFont="1" applyFill="1" applyBorder="1" applyAlignment="1">
      <alignment horizontal="center" vertical="center"/>
    </xf>
    <xf numFmtId="8" fontId="46" fillId="0" borderId="33" xfId="1" applyNumberFormat="1" applyFont="1" applyBorder="1" applyAlignment="1">
      <alignment horizontal="center" vertical="center"/>
    </xf>
    <xf numFmtId="8" fontId="42" fillId="4" borderId="33" xfId="1" applyNumberFormat="1" applyFont="1" applyFill="1" applyBorder="1" applyAlignment="1">
      <alignment horizontal="center" vertical="center"/>
    </xf>
    <xf numFmtId="8" fontId="45" fillId="0" borderId="27" xfId="0" applyNumberFormat="1" applyFont="1" applyBorder="1" applyAlignment="1">
      <alignment horizontal="center" vertical="center"/>
    </xf>
    <xf numFmtId="8" fontId="45" fillId="0" borderId="34" xfId="0" applyNumberFormat="1" applyFont="1" applyBorder="1" applyAlignment="1">
      <alignment horizontal="center" vertical="center"/>
    </xf>
    <xf numFmtId="164" fontId="45" fillId="0" borderId="26" xfId="1" applyNumberFormat="1" applyFont="1" applyBorder="1" applyAlignment="1">
      <alignment horizontal="center" vertical="center"/>
    </xf>
    <xf numFmtId="8" fontId="45" fillId="4" borderId="27" xfId="0" applyNumberFormat="1" applyFont="1" applyFill="1" applyBorder="1" applyAlignment="1">
      <alignment horizontal="center" vertical="center"/>
    </xf>
    <xf numFmtId="164" fontId="45" fillId="2" borderId="25" xfId="0" applyNumberFormat="1" applyFont="1" applyFill="1" applyBorder="1" applyAlignment="1">
      <alignment horizontal="center" vertical="center"/>
    </xf>
    <xf numFmtId="8" fontId="45" fillId="3" borderId="28" xfId="0" applyNumberFormat="1" applyFont="1" applyFill="1" applyBorder="1" applyAlignment="1">
      <alignment horizontal="center" vertical="center"/>
    </xf>
    <xf numFmtId="8" fontId="45" fillId="0" borderId="4" xfId="0" applyNumberFormat="1" applyFont="1" applyBorder="1" applyAlignment="1">
      <alignment horizontal="center" vertical="center"/>
    </xf>
    <xf numFmtId="164" fontId="45" fillId="0" borderId="4" xfId="0" applyNumberFormat="1" applyFont="1" applyBorder="1" applyAlignment="1">
      <alignment horizontal="center" vertical="center"/>
    </xf>
    <xf numFmtId="8" fontId="45" fillId="0" borderId="24" xfId="0" applyNumberFormat="1" applyFont="1" applyBorder="1" applyAlignment="1">
      <alignment horizontal="center" vertical="center"/>
    </xf>
    <xf numFmtId="8" fontId="45" fillId="0" borderId="0" xfId="0" applyNumberFormat="1" applyFont="1" applyAlignment="1">
      <alignment horizontal="center" vertical="center"/>
    </xf>
    <xf numFmtId="0" fontId="45" fillId="0" borderId="0" xfId="0" applyFont="1" applyAlignment="1">
      <alignment horizontal="right"/>
    </xf>
    <xf numFmtId="8" fontId="45" fillId="4" borderId="26" xfId="0" applyNumberFormat="1" applyFont="1" applyFill="1" applyBorder="1" applyAlignment="1">
      <alignment horizontal="center" vertical="center"/>
    </xf>
    <xf numFmtId="164" fontId="45" fillId="2" borderId="26" xfId="0" applyNumberFormat="1" applyFont="1" applyFill="1" applyBorder="1" applyAlignment="1">
      <alignment horizontal="center" vertical="center"/>
    </xf>
    <xf numFmtId="8" fontId="45" fillId="3" borderId="26" xfId="0" applyNumberFormat="1" applyFont="1" applyFill="1" applyBorder="1" applyAlignment="1">
      <alignment horizontal="center" vertical="center"/>
    </xf>
    <xf numFmtId="44" fontId="45" fillId="0" borderId="0" xfId="1" applyFont="1"/>
    <xf numFmtId="49" fontId="46" fillId="0" borderId="33" xfId="0" applyNumberFormat="1" applyFont="1" applyBorder="1" applyAlignment="1">
      <alignment horizontal="left" vertical="center" wrapText="1"/>
    </xf>
    <xf numFmtId="49" fontId="46" fillId="0" borderId="33" xfId="0" applyNumberFormat="1" applyFont="1" applyBorder="1" applyAlignment="1">
      <alignment horizontal="left"/>
    </xf>
    <xf numFmtId="8" fontId="41" fillId="0" borderId="33" xfId="1" applyNumberFormat="1" applyFont="1" applyBorder="1" applyAlignment="1">
      <alignment horizontal="center" vertical="center"/>
    </xf>
    <xf numFmtId="164" fontId="42" fillId="0" borderId="33" xfId="1" applyNumberFormat="1" applyFont="1" applyBorder="1" applyAlignment="1">
      <alignment horizontal="center" vertical="center"/>
    </xf>
    <xf numFmtId="8" fontId="45" fillId="4" borderId="1" xfId="0" applyNumberFormat="1" applyFont="1" applyFill="1" applyBorder="1" applyAlignment="1">
      <alignment horizontal="center" vertical="center"/>
    </xf>
    <xf numFmtId="8" fontId="45" fillId="0" borderId="1" xfId="0" applyNumberFormat="1" applyFont="1" applyBorder="1" applyAlignment="1">
      <alignment horizontal="center" vertical="center"/>
    </xf>
    <xf numFmtId="0" fontId="45" fillId="0" borderId="0" xfId="0" applyFont="1"/>
    <xf numFmtId="8" fontId="43" fillId="4" borderId="1" xfId="1" applyNumberFormat="1" applyFont="1" applyFill="1" applyBorder="1" applyAlignment="1">
      <alignment horizontal="center" vertical="center"/>
    </xf>
    <xf numFmtId="8" fontId="45" fillId="2" borderId="1" xfId="0" applyNumberFormat="1" applyFont="1" applyFill="1" applyBorder="1" applyAlignment="1">
      <alignment horizontal="center" vertical="center"/>
    </xf>
    <xf numFmtId="8" fontId="45" fillId="3" borderId="1" xfId="0" applyNumberFormat="1" applyFont="1" applyFill="1" applyBorder="1" applyAlignment="1">
      <alignment horizontal="center" vertical="center"/>
    </xf>
    <xf numFmtId="8" fontId="42" fillId="0" borderId="33" xfId="1" applyNumberFormat="1" applyFont="1" applyBorder="1" applyAlignment="1">
      <alignment horizontal="center" vertical="center"/>
    </xf>
    <xf numFmtId="8" fontId="45" fillId="0" borderId="33" xfId="0" applyNumberFormat="1" applyFont="1" applyBorder="1" applyAlignment="1">
      <alignment horizontal="center" vertical="center"/>
    </xf>
    <xf numFmtId="8" fontId="45" fillId="3" borderId="33" xfId="0" applyNumberFormat="1" applyFont="1" applyFill="1" applyBorder="1" applyAlignment="1">
      <alignment horizontal="center" vertical="center"/>
    </xf>
    <xf numFmtId="8" fontId="45" fillId="0" borderId="0" xfId="0" applyNumberFormat="1" applyFont="1"/>
    <xf numFmtId="49" fontId="42" fillId="0" borderId="1" xfId="0" applyNumberFormat="1" applyFont="1" applyBorder="1" applyAlignment="1">
      <alignment horizontal="left" vertical="center" wrapText="1"/>
    </xf>
    <xf numFmtId="49" fontId="42" fillId="0" borderId="1" xfId="0" applyNumberFormat="1" applyFont="1" applyBorder="1" applyAlignment="1">
      <alignment horizontal="left"/>
    </xf>
    <xf numFmtId="164" fontId="45" fillId="0" borderId="0" xfId="0" applyNumberFormat="1" applyFont="1"/>
    <xf numFmtId="164" fontId="45" fillId="0" borderId="1" xfId="0" applyNumberFormat="1" applyFont="1" applyBorder="1" applyAlignment="1">
      <alignment horizontal="center" vertical="center"/>
    </xf>
    <xf numFmtId="8" fontId="45" fillId="0" borderId="0" xfId="1" applyNumberFormat="1" applyFont="1"/>
    <xf numFmtId="164" fontId="45" fillId="0" borderId="33" xfId="0" applyNumberFormat="1" applyFont="1" applyBorder="1" applyAlignment="1">
      <alignment horizontal="center" vertical="center"/>
    </xf>
    <xf numFmtId="8" fontId="45" fillId="4" borderId="33" xfId="0" applyNumberFormat="1" applyFont="1" applyFill="1" applyBorder="1" applyAlignment="1">
      <alignment horizontal="center" vertical="center"/>
    </xf>
    <xf numFmtId="8" fontId="42" fillId="3" borderId="33" xfId="1" applyNumberFormat="1" applyFont="1" applyFill="1" applyBorder="1" applyAlignment="1">
      <alignment horizontal="center" vertical="center"/>
    </xf>
    <xf numFmtId="164" fontId="45" fillId="2" borderId="33" xfId="0" applyNumberFormat="1" applyFont="1" applyFill="1" applyBorder="1" applyAlignment="1">
      <alignment horizontal="center" vertical="center"/>
    </xf>
    <xf numFmtId="164" fontId="43" fillId="0" borderId="1" xfId="1" applyNumberFormat="1" applyFont="1" applyBorder="1" applyAlignment="1">
      <alignment horizontal="center" vertical="center"/>
    </xf>
    <xf numFmtId="164" fontId="44" fillId="2" borderId="1" xfId="1" applyNumberFormat="1" applyFont="1" applyFill="1" applyBorder="1" applyAlignment="1">
      <alignment horizontal="center" vertical="center"/>
    </xf>
    <xf numFmtId="164" fontId="42" fillId="2" borderId="33" xfId="1" applyNumberFormat="1" applyFont="1" applyFill="1" applyBorder="1" applyAlignment="1">
      <alignment horizontal="center" vertical="center"/>
    </xf>
    <xf numFmtId="8" fontId="42" fillId="4" borderId="1" xfId="1" applyNumberFormat="1" applyFont="1" applyFill="1" applyBorder="1" applyAlignment="1">
      <alignment horizontal="center" vertical="center"/>
    </xf>
    <xf numFmtId="8" fontId="45" fillId="0" borderId="33" xfId="0" applyNumberFormat="1" applyFont="1" applyBorder="1"/>
    <xf numFmtId="164" fontId="45" fillId="2" borderId="1" xfId="0" applyNumberFormat="1" applyFont="1" applyFill="1" applyBorder="1" applyAlignment="1">
      <alignment horizontal="center"/>
    </xf>
    <xf numFmtId="49" fontId="42" fillId="0" borderId="3" xfId="0" applyNumberFormat="1" applyFont="1" applyBorder="1" applyAlignment="1">
      <alignment horizontal="left"/>
    </xf>
    <xf numFmtId="8" fontId="45" fillId="0" borderId="3" xfId="0" applyNumberFormat="1" applyFont="1" applyBorder="1" applyAlignment="1">
      <alignment horizontal="center" vertical="center"/>
    </xf>
    <xf numFmtId="8" fontId="45" fillId="4" borderId="3" xfId="0" applyNumberFormat="1" applyFont="1" applyFill="1" applyBorder="1" applyAlignment="1">
      <alignment horizontal="center" vertical="center"/>
    </xf>
    <xf numFmtId="8" fontId="45" fillId="3" borderId="3" xfId="0" applyNumberFormat="1" applyFont="1" applyFill="1" applyBorder="1" applyAlignment="1">
      <alignment horizontal="center" vertical="center"/>
    </xf>
    <xf numFmtId="49" fontId="42" fillId="0" borderId="25" xfId="0" applyNumberFormat="1" applyFont="1" applyBorder="1" applyAlignment="1">
      <alignment horizontal="right"/>
    </xf>
    <xf numFmtId="49" fontId="42" fillId="0" borderId="6" xfId="0" applyNumberFormat="1" applyFont="1" applyBorder="1" applyAlignment="1">
      <alignment horizontal="right"/>
    </xf>
    <xf numFmtId="44" fontId="45" fillId="0" borderId="24" xfId="1" applyFont="1" applyBorder="1"/>
    <xf numFmtId="8" fontId="45" fillId="4" borderId="6" xfId="0" applyNumberFormat="1" applyFont="1" applyFill="1" applyBorder="1" applyAlignment="1">
      <alignment horizontal="center" vertical="center"/>
    </xf>
    <xf numFmtId="164" fontId="45" fillId="2" borderId="6" xfId="0" applyNumberFormat="1" applyFont="1" applyFill="1" applyBorder="1" applyAlignment="1">
      <alignment horizontal="center" vertical="center"/>
    </xf>
    <xf numFmtId="8" fontId="45" fillId="3" borderId="6" xfId="0" applyNumberFormat="1" applyFont="1" applyFill="1" applyBorder="1" applyAlignment="1">
      <alignment horizontal="center" vertical="center"/>
    </xf>
    <xf numFmtId="8" fontId="45" fillId="0" borderId="29" xfId="0" applyNumberFormat="1" applyFont="1" applyBorder="1" applyAlignment="1">
      <alignment horizontal="center" vertical="center"/>
    </xf>
    <xf numFmtId="164" fontId="45" fillId="0" borderId="29" xfId="0" applyNumberFormat="1" applyFont="1" applyBorder="1" applyAlignment="1">
      <alignment horizontal="center" vertical="center"/>
    </xf>
    <xf numFmtId="0" fontId="41" fillId="0" borderId="33" xfId="0" applyFont="1" applyBorder="1"/>
    <xf numFmtId="49" fontId="48" fillId="0" borderId="33" xfId="0" applyNumberFormat="1" applyFont="1" applyBorder="1" applyAlignment="1">
      <alignment horizontal="center" vertical="center"/>
    </xf>
    <xf numFmtId="164" fontId="46" fillId="0" borderId="33" xfId="1" applyNumberFormat="1" applyFont="1" applyBorder="1" applyAlignment="1">
      <alignment horizontal="center" vertical="center"/>
    </xf>
    <xf numFmtId="49" fontId="46" fillId="0" borderId="33" xfId="0" applyNumberFormat="1" applyFont="1" applyBorder="1" applyAlignment="1">
      <alignment horizontal="left" vertical="center"/>
    </xf>
    <xf numFmtId="8" fontId="49" fillId="0" borderId="33" xfId="1" applyNumberFormat="1" applyFont="1" applyBorder="1" applyAlignment="1">
      <alignment horizontal="center" vertical="center" wrapText="1"/>
    </xf>
    <xf numFmtId="8" fontId="48" fillId="0" borderId="33" xfId="1" applyNumberFormat="1" applyFont="1" applyBorder="1" applyAlignment="1">
      <alignment horizontal="center" vertical="center" wrapText="1"/>
    </xf>
    <xf numFmtId="8" fontId="47" fillId="0" borderId="33" xfId="1" applyNumberFormat="1" applyFont="1" applyBorder="1" applyAlignment="1">
      <alignment horizontal="center" vertical="center"/>
    </xf>
    <xf numFmtId="49" fontId="46" fillId="0" borderId="33" xfId="0" applyNumberFormat="1" applyFont="1" applyBorder="1" applyAlignment="1">
      <alignment horizontal="right"/>
    </xf>
    <xf numFmtId="44" fontId="47" fillId="0" borderId="0" xfId="1" applyFont="1"/>
    <xf numFmtId="44" fontId="41" fillId="0" borderId="0" xfId="0" applyNumberFormat="1" applyFont="1"/>
    <xf numFmtId="8" fontId="42" fillId="0" borderId="35" xfId="1" applyNumberFormat="1" applyFont="1" applyBorder="1" applyAlignment="1">
      <alignment horizontal="center" vertical="center"/>
    </xf>
    <xf numFmtId="164" fontId="46" fillId="0" borderId="30" xfId="1" applyNumberFormat="1" applyFont="1" applyBorder="1" applyAlignment="1">
      <alignment horizontal="center" vertical="center" wrapText="1"/>
    </xf>
    <xf numFmtId="164" fontId="46" fillId="0" borderId="1" xfId="1" applyNumberFormat="1" applyFont="1" applyBorder="1" applyAlignment="1">
      <alignment horizontal="center" vertical="center"/>
    </xf>
    <xf numFmtId="164" fontId="46" fillId="0" borderId="1" xfId="1" applyNumberFormat="1" applyFont="1" applyBorder="1" applyAlignment="1">
      <alignment horizontal="center" vertical="center" wrapText="1"/>
    </xf>
    <xf numFmtId="44" fontId="46" fillId="0" borderId="1" xfId="1" applyFont="1" applyBorder="1" applyAlignment="1">
      <alignment horizontal="center" vertical="center" wrapText="1"/>
    </xf>
    <xf numFmtId="164" fontId="46" fillId="4" borderId="1" xfId="1" applyNumberFormat="1" applyFont="1" applyFill="1" applyBorder="1" applyAlignment="1">
      <alignment horizontal="center" vertical="center"/>
    </xf>
    <xf numFmtId="0" fontId="41" fillId="3" borderId="33" xfId="0" applyFont="1" applyFill="1" applyBorder="1" applyAlignment="1">
      <alignment horizontal="center" vertical="center"/>
    </xf>
    <xf numFmtId="164" fontId="46" fillId="0" borderId="31" xfId="1" applyNumberFormat="1" applyFont="1" applyBorder="1" applyAlignment="1">
      <alignment horizontal="center" vertical="center" wrapText="1"/>
    </xf>
    <xf numFmtId="164" fontId="41" fillId="2" borderId="1" xfId="0" applyNumberFormat="1" applyFont="1" applyFill="1" applyBorder="1" applyAlignment="1">
      <alignment horizontal="center" vertical="center"/>
    </xf>
    <xf numFmtId="164" fontId="41" fillId="3" borderId="33" xfId="0" applyNumberFormat="1" applyFont="1" applyFill="1" applyBorder="1" applyAlignment="1">
      <alignment horizontal="center" vertical="center"/>
    </xf>
    <xf numFmtId="164" fontId="46" fillId="2" borderId="1" xfId="1" applyNumberFormat="1" applyFont="1" applyFill="1" applyBorder="1" applyAlignment="1">
      <alignment horizontal="center" vertical="center"/>
    </xf>
    <xf numFmtId="164" fontId="46" fillId="0" borderId="31" xfId="1" applyNumberFormat="1" applyFont="1" applyBorder="1" applyAlignment="1">
      <alignment horizontal="center" vertical="center"/>
    </xf>
    <xf numFmtId="164" fontId="41" fillId="4" borderId="1" xfId="0" applyNumberFormat="1" applyFont="1" applyFill="1" applyBorder="1" applyAlignment="1">
      <alignment horizontal="center" vertical="center"/>
    </xf>
    <xf numFmtId="164" fontId="41" fillId="2" borderId="1" xfId="1" applyNumberFormat="1" applyFont="1" applyFill="1" applyBorder="1" applyAlignment="1">
      <alignment horizontal="center" vertical="center"/>
    </xf>
    <xf numFmtId="164" fontId="41" fillId="0" borderId="1" xfId="0" applyNumberFormat="1" applyFont="1" applyBorder="1" applyAlignment="1">
      <alignment horizontal="center" vertical="center"/>
    </xf>
    <xf numFmtId="164" fontId="41" fillId="2" borderId="31" xfId="1" applyNumberFormat="1" applyFont="1" applyFill="1" applyBorder="1" applyAlignment="1">
      <alignment horizontal="center" vertical="center"/>
    </xf>
    <xf numFmtId="164" fontId="41" fillId="0" borderId="1" xfId="1" applyNumberFormat="1" applyFont="1" applyBorder="1" applyAlignment="1">
      <alignment horizontal="center" vertical="center"/>
    </xf>
    <xf numFmtId="164" fontId="41" fillId="0" borderId="31" xfId="1" applyNumberFormat="1" applyFont="1" applyBorder="1" applyAlignment="1">
      <alignment horizontal="center" vertical="center"/>
    </xf>
    <xf numFmtId="164" fontId="41" fillId="4" borderId="30" xfId="0" applyNumberFormat="1" applyFont="1" applyFill="1" applyBorder="1" applyAlignment="1">
      <alignment horizontal="center" vertical="center"/>
    </xf>
    <xf numFmtId="164" fontId="41" fillId="0" borderId="30" xfId="0" applyNumberFormat="1" applyFont="1" applyBorder="1" applyAlignment="1">
      <alignment horizontal="center" vertical="center"/>
    </xf>
    <xf numFmtId="164" fontId="41" fillId="0" borderId="12" xfId="1" applyNumberFormat="1" applyFont="1" applyBorder="1"/>
    <xf numFmtId="164" fontId="41" fillId="0" borderId="35" xfId="1" applyNumberFormat="1" applyFont="1" applyBorder="1" applyAlignment="1">
      <alignment horizontal="center" vertical="center"/>
    </xf>
    <xf numFmtId="164" fontId="47" fillId="0" borderId="1" xfId="0" applyNumberFormat="1" applyFont="1" applyBorder="1" applyAlignment="1">
      <alignment horizontal="center" vertical="center"/>
    </xf>
    <xf numFmtId="164" fontId="41" fillId="3" borderId="31" xfId="1" applyNumberFormat="1" applyFont="1" applyFill="1" applyBorder="1" applyAlignment="1">
      <alignment horizontal="center" vertical="center"/>
    </xf>
    <xf numFmtId="164" fontId="48" fillId="3" borderId="31" xfId="1" applyNumberFormat="1" applyFont="1" applyFill="1" applyBorder="1" applyAlignment="1">
      <alignment horizontal="center" vertical="center"/>
    </xf>
    <xf numFmtId="164" fontId="41" fillId="3" borderId="1" xfId="0" applyNumberFormat="1" applyFont="1" applyFill="1" applyBorder="1" applyAlignment="1">
      <alignment horizontal="center" vertical="center"/>
    </xf>
    <xf numFmtId="164" fontId="41" fillId="0" borderId="3" xfId="0" applyNumberFormat="1" applyFont="1" applyBorder="1" applyAlignment="1">
      <alignment horizontal="center" vertical="center"/>
    </xf>
    <xf numFmtId="44" fontId="47" fillId="0" borderId="3" xfId="1" applyFont="1" applyBorder="1" applyAlignment="1">
      <alignment horizontal="center" vertical="center"/>
    </xf>
    <xf numFmtId="164" fontId="41" fillId="0" borderId="3" xfId="1" applyNumberFormat="1" applyFont="1" applyBorder="1" applyAlignment="1">
      <alignment horizontal="center" vertical="center"/>
    </xf>
    <xf numFmtId="44" fontId="47" fillId="0" borderId="0" xfId="0" applyNumberFormat="1" applyFont="1"/>
    <xf numFmtId="44" fontId="47" fillId="0" borderId="35" xfId="1" applyFont="1" applyBorder="1" applyAlignment="1">
      <alignment horizontal="center" vertical="center" wrapText="1"/>
    </xf>
    <xf numFmtId="44" fontId="47" fillId="0" borderId="35" xfId="1" applyFont="1" applyBorder="1" applyAlignment="1">
      <alignment horizontal="center" vertical="center"/>
    </xf>
    <xf numFmtId="8" fontId="42" fillId="0" borderId="35" xfId="1" applyNumberFormat="1" applyFont="1" applyBorder="1" applyAlignment="1">
      <alignment horizontal="center" vertical="center" wrapText="1"/>
    </xf>
    <xf numFmtId="8" fontId="45" fillId="0" borderId="35" xfId="0" applyNumberFormat="1" applyFont="1" applyBorder="1" applyAlignment="1">
      <alignment horizontal="center" vertical="center"/>
    </xf>
    <xf numFmtId="8" fontId="45" fillId="2" borderId="35" xfId="0" applyNumberFormat="1" applyFont="1" applyFill="1" applyBorder="1" applyAlignment="1">
      <alignment horizontal="center" vertical="center"/>
    </xf>
    <xf numFmtId="8" fontId="45" fillId="3" borderId="35" xfId="0" applyNumberFormat="1" applyFont="1" applyFill="1" applyBorder="1" applyAlignment="1">
      <alignment horizontal="center" vertical="center"/>
    </xf>
    <xf numFmtId="49" fontId="42" fillId="0" borderId="35" xfId="0" applyNumberFormat="1" applyFont="1" applyBorder="1" applyAlignment="1">
      <alignment horizontal="left"/>
    </xf>
    <xf numFmtId="164" fontId="45" fillId="2" borderId="35" xfId="0" applyNumberFormat="1" applyFont="1" applyFill="1" applyBorder="1" applyAlignment="1">
      <alignment horizontal="center" vertical="center"/>
    </xf>
    <xf numFmtId="8" fontId="45" fillId="4" borderId="35" xfId="0" applyNumberFormat="1" applyFont="1" applyFill="1" applyBorder="1" applyAlignment="1">
      <alignment horizontal="center" vertical="center"/>
    </xf>
    <xf numFmtId="8" fontId="42" fillId="4" borderId="35" xfId="1" applyNumberFormat="1" applyFont="1" applyFill="1" applyBorder="1" applyAlignment="1">
      <alignment horizontal="center" vertical="center"/>
    </xf>
    <xf numFmtId="8" fontId="45" fillId="0" borderId="35" xfId="0" applyNumberFormat="1" applyFont="1" applyBorder="1"/>
    <xf numFmtId="44" fontId="48" fillId="0" borderId="35" xfId="1" applyFont="1" applyBorder="1" applyAlignment="1">
      <alignment horizontal="center" vertical="center" wrapText="1"/>
    </xf>
    <xf numFmtId="44" fontId="48" fillId="2" borderId="35" xfId="1" applyFont="1" applyFill="1" applyBorder="1" applyAlignment="1">
      <alignment horizontal="center" vertical="center"/>
    </xf>
    <xf numFmtId="164" fontId="43" fillId="0" borderId="11" xfId="1" applyNumberFormat="1" applyFont="1" applyBorder="1" applyAlignment="1">
      <alignment horizontal="center" vertical="center" wrapText="1"/>
    </xf>
    <xf numFmtId="164" fontId="46" fillId="0" borderId="35" xfId="1" applyNumberFormat="1" applyFont="1" applyBorder="1" applyAlignment="1">
      <alignment horizontal="center" vertical="center" wrapText="1"/>
    </xf>
    <xf numFmtId="164" fontId="46" fillId="0" borderId="35" xfId="1" applyNumberFormat="1" applyFont="1" applyBorder="1" applyAlignment="1">
      <alignment horizontal="center" vertical="center"/>
    </xf>
    <xf numFmtId="44" fontId="44" fillId="0" borderId="0" xfId="1" applyFont="1" applyAlignment="1">
      <alignment horizontal="center" vertical="center" wrapText="1"/>
    </xf>
    <xf numFmtId="44" fontId="44" fillId="0" borderId="35" xfId="1" applyFont="1" applyBorder="1" applyAlignment="1">
      <alignment horizontal="center" vertical="center" wrapText="1"/>
    </xf>
    <xf numFmtId="44" fontId="48" fillId="4" borderId="35" xfId="1" applyFont="1" applyFill="1" applyBorder="1" applyAlignment="1">
      <alignment horizontal="center" vertical="center"/>
    </xf>
    <xf numFmtId="44" fontId="41" fillId="2" borderId="37" xfId="1" applyFont="1" applyFill="1" applyBorder="1" applyAlignment="1">
      <alignment horizontal="center" vertical="center"/>
    </xf>
    <xf numFmtId="164" fontId="41" fillId="4" borderId="37" xfId="0" applyNumberFormat="1" applyFont="1" applyFill="1" applyBorder="1" applyAlignment="1">
      <alignment horizontal="center" vertical="center"/>
    </xf>
    <xf numFmtId="164" fontId="41" fillId="3" borderId="37" xfId="0" applyNumberFormat="1" applyFont="1" applyFill="1" applyBorder="1" applyAlignment="1">
      <alignment horizontal="center" vertical="center"/>
    </xf>
    <xf numFmtId="44" fontId="41" fillId="2" borderId="1" xfId="1" applyFont="1" applyFill="1" applyBorder="1" applyAlignment="1">
      <alignment horizontal="center" vertical="center"/>
    </xf>
    <xf numFmtId="0" fontId="42" fillId="4" borderId="32" xfId="0" applyFont="1" applyFill="1" applyBorder="1" applyAlignment="1">
      <alignment horizontal="center" vertical="center" wrapText="1"/>
    </xf>
    <xf numFmtId="164" fontId="42" fillId="0" borderId="4" xfId="0" applyNumberFormat="1" applyFont="1" applyBorder="1" applyAlignment="1">
      <alignment horizontal="center" vertical="center" wrapText="1"/>
    </xf>
    <xf numFmtId="0" fontId="45" fillId="3" borderId="32" xfId="0" applyFont="1" applyFill="1" applyBorder="1" applyAlignment="1">
      <alignment horizontal="center" vertical="center"/>
    </xf>
    <xf numFmtId="164" fontId="44" fillId="0" borderId="32" xfId="1" applyNumberFormat="1" applyFont="1" applyBorder="1" applyAlignment="1">
      <alignment horizontal="center" vertical="center" wrapText="1"/>
    </xf>
    <xf numFmtId="44" fontId="42" fillId="0" borderId="4" xfId="1" applyFont="1" applyBorder="1" applyAlignment="1">
      <alignment horizontal="center" vertical="center" wrapText="1"/>
    </xf>
    <xf numFmtId="44" fontId="44" fillId="0" borderId="4" xfId="1" applyFont="1" applyBorder="1" applyAlignment="1">
      <alignment horizontal="center" vertical="center" wrapText="1"/>
    </xf>
    <xf numFmtId="164" fontId="45" fillId="2" borderId="36" xfId="1" applyNumberFormat="1" applyFont="1" applyFill="1" applyBorder="1" applyAlignment="1">
      <alignment horizontal="center" vertical="center" wrapText="1"/>
    </xf>
    <xf numFmtId="0" fontId="45" fillId="3" borderId="2" xfId="0" applyFont="1" applyFill="1" applyBorder="1" applyAlignment="1">
      <alignment horizontal="center" vertical="center"/>
    </xf>
    <xf numFmtId="8" fontId="48" fillId="3" borderId="33" xfId="1" applyNumberFormat="1" applyFont="1" applyFill="1" applyBorder="1" applyAlignment="1">
      <alignment horizontal="center" vertical="center"/>
    </xf>
    <xf numFmtId="44" fontId="44" fillId="0" borderId="39" xfId="1" applyFont="1" applyBorder="1" applyAlignment="1">
      <alignment horizontal="center" vertical="center" wrapText="1"/>
    </xf>
    <xf numFmtId="164" fontId="45" fillId="0" borderId="35" xfId="0" applyNumberFormat="1" applyFont="1" applyBorder="1" applyAlignment="1">
      <alignment horizontal="center" vertical="center"/>
    </xf>
    <xf numFmtId="44" fontId="42" fillId="0" borderId="39" xfId="1" applyFont="1" applyBorder="1" applyAlignment="1">
      <alignment horizontal="center" vertical="center"/>
    </xf>
    <xf numFmtId="164" fontId="42" fillId="0" borderId="39" xfId="1" applyNumberFormat="1" applyFont="1" applyBorder="1" applyAlignment="1">
      <alignment horizontal="center" vertical="center"/>
    </xf>
    <xf numFmtId="164" fontId="45" fillId="0" borderId="39" xfId="1" applyNumberFormat="1" applyFont="1" applyBorder="1" applyAlignment="1">
      <alignment horizontal="center" vertical="center"/>
    </xf>
    <xf numFmtId="164" fontId="45" fillId="0" borderId="27" xfId="1" applyNumberFormat="1" applyFont="1" applyBorder="1" applyAlignment="1">
      <alignment horizontal="center" vertical="center"/>
    </xf>
    <xf numFmtId="164" fontId="45" fillId="0" borderId="35" xfId="1" applyNumberFormat="1" applyFont="1" applyBorder="1" applyAlignment="1">
      <alignment horizontal="center" vertical="center"/>
    </xf>
    <xf numFmtId="164" fontId="42" fillId="0" borderId="39" xfId="1" applyNumberFormat="1" applyFont="1" applyBorder="1" applyAlignment="1">
      <alignment horizontal="center" vertical="center" wrapText="1"/>
    </xf>
    <xf numFmtId="164" fontId="44" fillId="0" borderId="39" xfId="1" applyNumberFormat="1" applyFont="1" applyBorder="1" applyAlignment="1">
      <alignment horizontal="center" vertical="center" wrapText="1"/>
    </xf>
    <xf numFmtId="164" fontId="42" fillId="0" borderId="39" xfId="0" applyNumberFormat="1" applyFont="1" applyBorder="1" applyAlignment="1">
      <alignment horizontal="center" vertical="center" wrapText="1"/>
    </xf>
    <xf numFmtId="49" fontId="42" fillId="0" borderId="39" xfId="0" applyNumberFormat="1" applyFont="1" applyBorder="1" applyAlignment="1">
      <alignment horizontal="center" vertical="center" wrapText="1"/>
    </xf>
    <xf numFmtId="0" fontId="44" fillId="0" borderId="39" xfId="0" applyFont="1" applyBorder="1" applyAlignment="1">
      <alignment horizontal="center" vertical="center" wrapText="1"/>
    </xf>
    <xf numFmtId="164" fontId="44" fillId="0" borderId="39" xfId="0" applyNumberFormat="1" applyFont="1" applyBorder="1" applyAlignment="1">
      <alignment horizontal="center" vertical="center" wrapText="1"/>
    </xf>
    <xf numFmtId="0" fontId="44" fillId="0" borderId="39" xfId="0" applyFont="1" applyBorder="1" applyAlignment="1">
      <alignment horizontal="center" wrapText="1"/>
    </xf>
    <xf numFmtId="164" fontId="41" fillId="0" borderId="40" xfId="0" applyNumberFormat="1" applyFont="1" applyBorder="1" applyAlignment="1">
      <alignment horizontal="center" vertical="center"/>
    </xf>
    <xf numFmtId="49" fontId="46" fillId="0" borderId="3" xfId="0" applyNumberFormat="1" applyFont="1" applyBorder="1" applyAlignment="1">
      <alignment horizontal="left"/>
    </xf>
    <xf numFmtId="0" fontId="41" fillId="0" borderId="3" xfId="0" applyFont="1" applyBorder="1"/>
    <xf numFmtId="164" fontId="41" fillId="4" borderId="3" xfId="0" applyNumberFormat="1" applyFont="1" applyFill="1" applyBorder="1" applyAlignment="1">
      <alignment horizontal="center" vertical="center"/>
    </xf>
    <xf numFmtId="44" fontId="41" fillId="2" borderId="3" xfId="1" applyFont="1" applyFill="1" applyBorder="1" applyAlignment="1">
      <alignment horizontal="center" vertical="center"/>
    </xf>
    <xf numFmtId="164" fontId="41" fillId="3" borderId="3" xfId="0" applyNumberFormat="1" applyFont="1" applyFill="1" applyBorder="1" applyAlignment="1">
      <alignment horizontal="center" vertical="center"/>
    </xf>
    <xf numFmtId="49" fontId="46" fillId="0" borderId="40" xfId="0" applyNumberFormat="1" applyFont="1" applyBorder="1" applyAlignment="1">
      <alignment horizontal="right"/>
    </xf>
    <xf numFmtId="44" fontId="48" fillId="0" borderId="40" xfId="1" applyFont="1" applyBorder="1" applyAlignment="1">
      <alignment horizontal="center" vertical="center"/>
    </xf>
    <xf numFmtId="8" fontId="48" fillId="0" borderId="40" xfId="1" applyNumberFormat="1" applyFont="1" applyBorder="1" applyAlignment="1">
      <alignment horizontal="center" vertical="center"/>
    </xf>
    <xf numFmtId="164" fontId="41" fillId="0" borderId="40" xfId="1" applyNumberFormat="1" applyFont="1" applyBorder="1" applyAlignment="1">
      <alignment horizontal="center" vertical="center"/>
    </xf>
    <xf numFmtId="164" fontId="48" fillId="4" borderId="40" xfId="0" applyNumberFormat="1" applyFont="1" applyFill="1" applyBorder="1" applyAlignment="1">
      <alignment horizontal="center" vertical="center"/>
    </xf>
    <xf numFmtId="44" fontId="48" fillId="2" borderId="40" xfId="1" applyFont="1" applyFill="1" applyBorder="1" applyAlignment="1">
      <alignment horizontal="center" vertical="center"/>
    </xf>
    <xf numFmtId="164" fontId="48" fillId="3" borderId="40" xfId="1" applyNumberFormat="1" applyFont="1" applyFill="1" applyBorder="1" applyAlignment="1">
      <alignment horizontal="center" vertical="center"/>
    </xf>
    <xf numFmtId="44" fontId="46" fillId="0" borderId="40" xfId="1" applyFont="1" applyBorder="1" applyAlignment="1">
      <alignment horizontal="center" vertical="center"/>
    </xf>
    <xf numFmtId="44" fontId="46" fillId="4" borderId="33" xfId="0" applyNumberFormat="1" applyFont="1" applyFill="1" applyBorder="1" applyAlignment="1">
      <alignment horizontal="center" vertical="center" wrapText="1"/>
    </xf>
    <xf numFmtId="44" fontId="41" fillId="2" borderId="33" xfId="1" applyFont="1" applyFill="1" applyBorder="1" applyAlignment="1">
      <alignment horizontal="center" vertical="center" wrapText="1"/>
    </xf>
    <xf numFmtId="44" fontId="41" fillId="3" borderId="36" xfId="1" applyFont="1" applyFill="1" applyBorder="1" applyAlignment="1">
      <alignment horizontal="center" vertical="center" wrapText="1"/>
    </xf>
    <xf numFmtId="44" fontId="41" fillId="38" borderId="33" xfId="1" applyFont="1" applyFill="1" applyBorder="1" applyAlignment="1">
      <alignment horizontal="center" vertical="center" wrapText="1"/>
    </xf>
    <xf numFmtId="44" fontId="46" fillId="4" borderId="33" xfId="1" applyFont="1" applyFill="1" applyBorder="1" applyAlignment="1">
      <alignment horizontal="center" vertical="center"/>
    </xf>
    <xf numFmtId="44" fontId="46" fillId="2" borderId="33" xfId="1" applyFont="1" applyFill="1" applyBorder="1" applyAlignment="1">
      <alignment horizontal="center" vertical="center"/>
    </xf>
    <xf numFmtId="44" fontId="46" fillId="3" borderId="33" xfId="1" applyFont="1" applyFill="1" applyBorder="1" applyAlignment="1">
      <alignment horizontal="center" vertical="center"/>
    </xf>
    <xf numFmtId="44" fontId="46" fillId="38" borderId="33" xfId="1" applyFont="1" applyFill="1" applyBorder="1" applyAlignment="1">
      <alignment horizontal="center" vertical="center"/>
    </xf>
    <xf numFmtId="44" fontId="41" fillId="4" borderId="33" xfId="1" applyFont="1" applyFill="1" applyBorder="1" applyAlignment="1">
      <alignment horizontal="center" vertical="center"/>
    </xf>
    <xf numFmtId="44" fontId="41" fillId="3" borderId="33" xfId="1" applyFont="1" applyFill="1" applyBorder="1" applyAlignment="1">
      <alignment horizontal="center" vertical="center" wrapText="1"/>
    </xf>
    <xf numFmtId="44" fontId="41" fillId="3" borderId="33" xfId="1" applyFont="1" applyFill="1" applyBorder="1" applyAlignment="1">
      <alignment horizontal="center" vertical="center"/>
    </xf>
    <xf numFmtId="44" fontId="41" fillId="38" borderId="33" xfId="1" applyFont="1" applyFill="1" applyBorder="1" applyAlignment="1">
      <alignment horizontal="center" vertical="center"/>
    </xf>
    <xf numFmtId="44" fontId="41" fillId="2" borderId="33" xfId="1" applyFont="1" applyFill="1" applyBorder="1" applyAlignment="1">
      <alignment horizontal="center" vertical="center"/>
    </xf>
    <xf numFmtId="44" fontId="46" fillId="0" borderId="33" xfId="1" applyFont="1" applyBorder="1" applyAlignment="1">
      <alignment horizontal="center" vertical="center"/>
    </xf>
    <xf numFmtId="44" fontId="46" fillId="0" borderId="30" xfId="1" applyFont="1" applyBorder="1" applyAlignment="1">
      <alignment horizontal="center" vertical="center"/>
    </xf>
    <xf numFmtId="44" fontId="46" fillId="0" borderId="33" xfId="1" applyFont="1" applyBorder="1" applyAlignment="1">
      <alignment horizontal="center" vertical="center" wrapText="1"/>
    </xf>
    <xf numFmtId="44" fontId="46" fillId="0" borderId="1" xfId="0" applyNumberFormat="1" applyFont="1" applyBorder="1" applyAlignment="1">
      <alignment horizontal="center" vertical="center" wrapText="1"/>
    </xf>
    <xf numFmtId="44" fontId="46" fillId="3" borderId="33" xfId="1" applyFont="1" applyFill="1" applyBorder="1" applyAlignment="1">
      <alignment horizontal="center" vertical="center" wrapText="1"/>
    </xf>
    <xf numFmtId="44" fontId="46" fillId="2" borderId="33" xfId="1" applyFont="1" applyFill="1" applyBorder="1" applyAlignment="1">
      <alignment horizontal="center" vertical="center" wrapText="1"/>
    </xf>
    <xf numFmtId="44" fontId="49" fillId="0" borderId="33" xfId="1" applyFont="1" applyBorder="1" applyAlignment="1">
      <alignment horizontal="center" vertical="center" wrapText="1"/>
    </xf>
    <xf numFmtId="44" fontId="48" fillId="3" borderId="33" xfId="1" applyFont="1" applyFill="1" applyBorder="1" applyAlignment="1">
      <alignment horizontal="center" vertical="center" wrapText="1"/>
    </xf>
    <xf numFmtId="44" fontId="48" fillId="0" borderId="33" xfId="1" applyFont="1" applyBorder="1" applyAlignment="1">
      <alignment horizontal="center" vertical="center" wrapText="1"/>
    </xf>
    <xf numFmtId="44" fontId="48" fillId="2" borderId="33" xfId="1" applyFont="1" applyFill="1" applyBorder="1" applyAlignment="1">
      <alignment horizontal="center" vertical="center"/>
    </xf>
    <xf numFmtId="44" fontId="46" fillId="0" borderId="1" xfId="1" applyFont="1" applyBorder="1" applyAlignment="1">
      <alignment horizontal="center" vertical="center"/>
    </xf>
    <xf numFmtId="44" fontId="41" fillId="0" borderId="33" xfId="1" applyFont="1" applyBorder="1" applyAlignment="1">
      <alignment horizontal="center" vertical="center"/>
    </xf>
    <xf numFmtId="44" fontId="48" fillId="3" borderId="33" xfId="1" applyFont="1" applyFill="1" applyBorder="1" applyAlignment="1">
      <alignment horizontal="center" vertical="center"/>
    </xf>
    <xf numFmtId="44" fontId="48" fillId="0" borderId="33" xfId="1" applyFont="1" applyBorder="1" applyAlignment="1">
      <alignment horizontal="center" vertical="center"/>
    </xf>
    <xf numFmtId="44" fontId="41" fillId="0" borderId="33" xfId="0" applyNumberFormat="1" applyFont="1" applyBorder="1"/>
    <xf numFmtId="44" fontId="46" fillId="0" borderId="31" xfId="1" applyFont="1" applyBorder="1" applyAlignment="1">
      <alignment horizontal="center" vertical="center"/>
    </xf>
    <xf numFmtId="44" fontId="48" fillId="0" borderId="31" xfId="1" applyFont="1" applyBorder="1" applyAlignment="1">
      <alignment horizontal="center" vertical="center"/>
    </xf>
    <xf numFmtId="44" fontId="41" fillId="0" borderId="33" xfId="0" applyNumberFormat="1" applyFont="1" applyBorder="1" applyAlignment="1">
      <alignment horizontal="center" vertical="center"/>
    </xf>
    <xf numFmtId="44" fontId="41" fillId="0" borderId="33" xfId="1" applyFont="1" applyBorder="1"/>
    <xf numFmtId="44" fontId="44" fillId="0" borderId="33" xfId="1" applyFont="1" applyBorder="1" applyAlignment="1">
      <alignment horizontal="center" vertical="center" wrapText="1"/>
    </xf>
    <xf numFmtId="44" fontId="44" fillId="0" borderId="36" xfId="0" applyNumberFormat="1" applyFont="1" applyBorder="1" applyAlignment="1">
      <alignment horizontal="center" vertical="center" wrapText="1"/>
    </xf>
    <xf numFmtId="44" fontId="44" fillId="0" borderId="36" xfId="1" applyFont="1" applyBorder="1" applyAlignment="1">
      <alignment horizontal="center" vertical="center" wrapText="1"/>
    </xf>
    <xf numFmtId="44" fontId="44" fillId="0" borderId="33" xfId="0" applyNumberFormat="1" applyFont="1" applyBorder="1" applyAlignment="1">
      <alignment horizontal="center" vertical="center"/>
    </xf>
    <xf numFmtId="44" fontId="46" fillId="2" borderId="1" xfId="1" applyFont="1" applyFill="1" applyBorder="1" applyAlignment="1">
      <alignment horizontal="center" vertical="center" wrapText="1"/>
    </xf>
    <xf numFmtId="44" fontId="46" fillId="2" borderId="1" xfId="1" applyFont="1" applyFill="1" applyBorder="1" applyAlignment="1">
      <alignment horizontal="center" vertical="center"/>
    </xf>
    <xf numFmtId="49" fontId="43" fillId="0" borderId="33" xfId="0" applyNumberFormat="1" applyFont="1" applyBorder="1" applyAlignment="1">
      <alignment horizontal="center" vertical="center" wrapText="1"/>
    </xf>
    <xf numFmtId="164" fontId="48" fillId="3" borderId="30" xfId="1" applyNumberFormat="1" applyFont="1" applyFill="1" applyBorder="1" applyAlignment="1">
      <alignment horizontal="center" vertical="center"/>
    </xf>
    <xf numFmtId="164" fontId="41" fillId="3" borderId="30" xfId="0" applyNumberFormat="1" applyFont="1" applyFill="1" applyBorder="1" applyAlignment="1">
      <alignment horizontal="center" vertical="center"/>
    </xf>
    <xf numFmtId="164" fontId="46" fillId="3" borderId="30" xfId="1" applyNumberFormat="1" applyFont="1" applyFill="1" applyBorder="1" applyAlignment="1">
      <alignment horizontal="center" vertical="center"/>
    </xf>
    <xf numFmtId="164" fontId="48" fillId="0" borderId="31" xfId="1" applyNumberFormat="1" applyFont="1" applyBorder="1" applyAlignment="1">
      <alignment horizontal="center" vertical="center"/>
    </xf>
    <xf numFmtId="164" fontId="41" fillId="2" borderId="35" xfId="1" applyNumberFormat="1" applyFont="1" applyFill="1" applyBorder="1" applyAlignment="1">
      <alignment horizontal="center" vertical="center"/>
    </xf>
    <xf numFmtId="164" fontId="45" fillId="0" borderId="40" xfId="0" applyNumberFormat="1" applyFont="1" applyBorder="1" applyAlignment="1">
      <alignment horizontal="center" vertical="center" wrapText="1"/>
    </xf>
    <xf numFmtId="0" fontId="41" fillId="0" borderId="40" xfId="0" applyFont="1" applyBorder="1"/>
    <xf numFmtId="44" fontId="42" fillId="0" borderId="40" xfId="1" applyFont="1" applyBorder="1" applyAlignment="1">
      <alignment horizontal="center" vertical="center" wrapText="1"/>
    </xf>
    <xf numFmtId="44" fontId="42" fillId="0" borderId="40" xfId="1" applyFont="1" applyBorder="1" applyAlignment="1">
      <alignment horizontal="center" vertical="center"/>
    </xf>
    <xf numFmtId="44" fontId="41" fillId="0" borderId="40" xfId="1" applyFont="1" applyBorder="1" applyAlignment="1">
      <alignment horizontal="center" vertical="center"/>
    </xf>
    <xf numFmtId="44" fontId="41" fillId="0" borderId="40" xfId="1" applyFont="1" applyBorder="1"/>
    <xf numFmtId="44" fontId="41" fillId="2" borderId="40" xfId="1" applyFont="1" applyFill="1" applyBorder="1"/>
    <xf numFmtId="44" fontId="41" fillId="2" borderId="40" xfId="1" applyFont="1" applyFill="1" applyBorder="1" applyAlignment="1">
      <alignment horizontal="center" vertical="center"/>
    </xf>
    <xf numFmtId="164" fontId="45" fillId="0" borderId="0" xfId="1" applyNumberFormat="1" applyFont="1"/>
    <xf numFmtId="164" fontId="43" fillId="0" borderId="0" xfId="0" applyNumberFormat="1" applyFont="1"/>
    <xf numFmtId="44" fontId="43" fillId="0" borderId="7" xfId="1" applyFont="1" applyBorder="1" applyAlignment="1">
      <alignment horizontal="center" vertical="center" wrapText="1"/>
    </xf>
    <xf numFmtId="8" fontId="42" fillId="0" borderId="40" xfId="1" applyNumberFormat="1" applyFont="1" applyBorder="1" applyAlignment="1">
      <alignment horizontal="center" vertical="center" wrapText="1"/>
    </xf>
    <xf numFmtId="8" fontId="42" fillId="0" borderId="40" xfId="1" applyNumberFormat="1" applyFont="1" applyBorder="1" applyAlignment="1">
      <alignment horizontal="center" vertical="center"/>
    </xf>
    <xf numFmtId="8" fontId="45" fillId="0" borderId="40" xfId="0" applyNumberFormat="1" applyFont="1" applyBorder="1" applyAlignment="1">
      <alignment horizontal="center" vertical="center"/>
    </xf>
    <xf numFmtId="8" fontId="45" fillId="3" borderId="40" xfId="0" applyNumberFormat="1" applyFont="1" applyFill="1" applyBorder="1" applyAlignment="1">
      <alignment horizontal="center" vertical="center"/>
    </xf>
    <xf numFmtId="164" fontId="43" fillId="0" borderId="40" xfId="1" applyNumberFormat="1" applyFont="1" applyBorder="1" applyAlignment="1">
      <alignment horizontal="center" vertical="center" wrapText="1"/>
    </xf>
    <xf numFmtId="8" fontId="42" fillId="3" borderId="35" xfId="1" applyNumberFormat="1" applyFont="1" applyFill="1" applyBorder="1" applyAlignment="1">
      <alignment horizontal="center" vertical="center"/>
    </xf>
    <xf numFmtId="8" fontId="44" fillId="0" borderId="0" xfId="1" applyNumberFormat="1" applyFont="1"/>
    <xf numFmtId="8" fontId="43" fillId="0" borderId="0" xfId="0" applyNumberFormat="1" applyFont="1" applyAlignment="1">
      <alignment horizontal="center" vertical="center"/>
    </xf>
    <xf numFmtId="44" fontId="45" fillId="2" borderId="32" xfId="1" applyFont="1" applyFill="1" applyBorder="1" applyAlignment="1">
      <alignment horizontal="center" vertical="center" wrapText="1"/>
    </xf>
    <xf numFmtId="164" fontId="44" fillId="3" borderId="39" xfId="1" applyNumberFormat="1" applyFont="1" applyFill="1" applyBorder="1" applyAlignment="1">
      <alignment horizontal="center" vertical="center"/>
    </xf>
    <xf numFmtId="164" fontId="45" fillId="3" borderId="39" xfId="1" applyNumberFormat="1" applyFont="1" applyFill="1" applyBorder="1" applyAlignment="1">
      <alignment horizontal="center" vertical="center"/>
    </xf>
    <xf numFmtId="164" fontId="45" fillId="3" borderId="1" xfId="1" applyNumberFormat="1" applyFont="1" applyFill="1" applyBorder="1" applyAlignment="1">
      <alignment horizontal="center" vertical="center"/>
    </xf>
    <xf numFmtId="44" fontId="0" fillId="0" borderId="0" xfId="0" applyNumberFormat="1"/>
    <xf numFmtId="167" fontId="2" fillId="0" borderId="0" xfId="0" applyNumberFormat="1" applyFont="1"/>
    <xf numFmtId="44" fontId="5" fillId="0" borderId="0" xfId="1" applyFont="1" applyAlignment="1">
      <alignment vertical="center"/>
    </xf>
    <xf numFmtId="0" fontId="7" fillId="0" borderId="0" xfId="0" applyFont="1" applyAlignment="1">
      <alignment vertical="center" wrapText="1"/>
    </xf>
    <xf numFmtId="0" fontId="4" fillId="4" borderId="41" xfId="0" applyFont="1" applyFill="1" applyBorder="1" applyAlignment="1">
      <alignment horizontal="right" vertical="center"/>
    </xf>
    <xf numFmtId="0" fontId="4" fillId="0" borderId="0" xfId="0" applyFont="1" applyAlignment="1">
      <alignment vertical="center"/>
    </xf>
    <xf numFmtId="0" fontId="4" fillId="6" borderId="41" xfId="0" applyFont="1" applyFill="1" applyBorder="1" applyAlignment="1">
      <alignment horizontal="right" vertical="center" wrapText="1"/>
    </xf>
    <xf numFmtId="0" fontId="4" fillId="2" borderId="41" xfId="0" applyFont="1" applyFill="1" applyBorder="1" applyAlignment="1">
      <alignment horizontal="right" vertical="center"/>
    </xf>
    <xf numFmtId="44" fontId="4" fillId="8" borderId="41" xfId="1" applyFont="1" applyFill="1" applyBorder="1" applyAlignment="1">
      <alignment horizontal="left" vertical="center"/>
    </xf>
    <xf numFmtId="0" fontId="4" fillId="36" borderId="41" xfId="0" applyFont="1" applyFill="1" applyBorder="1" applyAlignment="1">
      <alignment horizontal="left" vertical="center"/>
    </xf>
    <xf numFmtId="0" fontId="4" fillId="0" borderId="41" xfId="0" applyFont="1" applyBorder="1" applyAlignment="1">
      <alignment horizontal="left" vertical="center"/>
    </xf>
    <xf numFmtId="0" fontId="4" fillId="7" borderId="41" xfId="0" applyFont="1" applyFill="1" applyBorder="1" applyAlignment="1">
      <alignment horizontal="left" vertical="center"/>
    </xf>
    <xf numFmtId="0" fontId="4" fillId="37" borderId="41" xfId="0" applyFont="1" applyFill="1" applyBorder="1" applyAlignment="1">
      <alignment horizontal="right" vertical="center"/>
    </xf>
    <xf numFmtId="44" fontId="7" fillId="39" borderId="41" xfId="1" applyFont="1" applyFill="1" applyBorder="1" applyAlignment="1">
      <alignment horizontal="right" vertical="center"/>
    </xf>
    <xf numFmtId="0" fontId="7" fillId="0" borderId="0" xfId="0" applyFont="1" applyAlignment="1">
      <alignment vertical="center"/>
    </xf>
    <xf numFmtId="0" fontId="4" fillId="0" borderId="0" xfId="0" applyFont="1"/>
    <xf numFmtId="0" fontId="4" fillId="4" borderId="41" xfId="0" applyFont="1" applyFill="1" applyBorder="1" applyAlignment="1">
      <alignment horizontal="right"/>
    </xf>
    <xf numFmtId="0" fontId="4" fillId="6" borderId="41" xfId="0" applyFont="1" applyFill="1" applyBorder="1" applyAlignment="1">
      <alignment horizontal="right" wrapText="1"/>
    </xf>
    <xf numFmtId="0" fontId="4" fillId="2" borderId="41" xfId="0" applyFont="1" applyFill="1" applyBorder="1" applyAlignment="1">
      <alignment horizontal="right"/>
    </xf>
    <xf numFmtId="0" fontId="7" fillId="9" borderId="41" xfId="0" applyFont="1" applyFill="1" applyBorder="1" applyAlignment="1">
      <alignment horizontal="right"/>
    </xf>
    <xf numFmtId="44" fontId="4" fillId="8" borderId="41" xfId="1" applyFont="1" applyFill="1" applyBorder="1" applyAlignment="1">
      <alignment horizontal="left"/>
    </xf>
    <xf numFmtId="0" fontId="4" fillId="36" borderId="41" xfId="0" applyFont="1" applyFill="1" applyBorder="1" applyAlignment="1">
      <alignment horizontal="left"/>
    </xf>
    <xf numFmtId="0" fontId="4" fillId="0" borderId="41" xfId="0" applyFont="1" applyBorder="1" applyAlignment="1">
      <alignment horizontal="left"/>
    </xf>
    <xf numFmtId="0" fontId="4" fillId="7" borderId="41" xfId="0" applyFont="1" applyFill="1" applyBorder="1" applyAlignment="1">
      <alignment horizontal="left"/>
    </xf>
    <xf numFmtId="0" fontId="4" fillId="37" borderId="41" xfId="0" applyFont="1" applyFill="1" applyBorder="1" applyAlignment="1">
      <alignment horizontal="right"/>
    </xf>
    <xf numFmtId="44" fontId="7" fillId="39" borderId="41" xfId="1" applyFont="1" applyFill="1" applyBorder="1" applyAlignment="1">
      <alignment horizontal="right"/>
    </xf>
    <xf numFmtId="44" fontId="4" fillId="0" borderId="0" xfId="1" applyFont="1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49" fontId="5" fillId="0" borderId="42" xfId="0" applyNumberFormat="1" applyFont="1" applyBorder="1" applyAlignment="1">
      <alignment horizontal="right"/>
    </xf>
    <xf numFmtId="8" fontId="2" fillId="0" borderId="0" xfId="1" applyNumberFormat="1" applyFont="1"/>
    <xf numFmtId="0" fontId="2" fillId="0" borderId="0" xfId="0" applyFont="1" applyAlignment="1">
      <alignment vertical="top"/>
    </xf>
    <xf numFmtId="0" fontId="52" fillId="0" borderId="0" xfId="0" applyFont="1"/>
    <xf numFmtId="8" fontId="2" fillId="0" borderId="0" xfId="0" applyNumberFormat="1" applyFont="1" applyAlignment="1">
      <alignment horizontal="center" vertical="center" wrapText="1"/>
    </xf>
    <xf numFmtId="8" fontId="4" fillId="0" borderId="0" xfId="0" applyNumberFormat="1" applyFont="1" applyAlignment="1">
      <alignment horizontal="center" vertical="center"/>
    </xf>
    <xf numFmtId="8" fontId="2" fillId="0" borderId="42" xfId="1" applyNumberFormat="1" applyFont="1" applyBorder="1" applyAlignment="1">
      <alignment horizontal="center" vertical="center"/>
    </xf>
    <xf numFmtId="8" fontId="6" fillId="0" borderId="42" xfId="1" applyNumberFormat="1" applyFont="1" applyBorder="1" applyAlignment="1">
      <alignment horizontal="center" vertical="center"/>
    </xf>
    <xf numFmtId="8" fontId="5" fillId="0" borderId="42" xfId="1" applyNumberFormat="1" applyFont="1" applyBorder="1" applyAlignment="1">
      <alignment horizontal="center" vertical="center"/>
    </xf>
    <xf numFmtId="8" fontId="2" fillId="0" borderId="0" xfId="0" applyNumberFormat="1" applyFont="1" applyAlignment="1">
      <alignment horizontal="center" vertical="center"/>
    </xf>
    <xf numFmtId="8" fontId="6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8" fontId="7" fillId="0" borderId="41" xfId="1" applyNumberFormat="1" applyFont="1" applyBorder="1" applyAlignment="1">
      <alignment horizontal="center" vertical="center" wrapText="1"/>
    </xf>
    <xf numFmtId="8" fontId="7" fillId="0" borderId="0" xfId="0" applyNumberFormat="1" applyFont="1" applyAlignment="1">
      <alignment vertical="center" wrapText="1"/>
    </xf>
    <xf numFmtId="8" fontId="7" fillId="4" borderId="41" xfId="1" applyNumberFormat="1" applyFont="1" applyFill="1" applyBorder="1" applyAlignment="1">
      <alignment horizontal="center" vertical="center"/>
    </xf>
    <xf numFmtId="8" fontId="4" fillId="0" borderId="0" xfId="0" applyNumberFormat="1" applyFont="1" applyAlignment="1">
      <alignment vertical="center"/>
    </xf>
    <xf numFmtId="8" fontId="7" fillId="6" borderId="41" xfId="1" applyNumberFormat="1" applyFont="1" applyFill="1" applyBorder="1" applyAlignment="1">
      <alignment horizontal="center" vertical="center"/>
    </xf>
    <xf numFmtId="8" fontId="7" fillId="2" borderId="41" xfId="1" applyNumberFormat="1" applyFont="1" applyFill="1" applyBorder="1" applyAlignment="1">
      <alignment horizontal="center" vertical="center"/>
    </xf>
    <xf numFmtId="8" fontId="7" fillId="3" borderId="41" xfId="1" applyNumberFormat="1" applyFont="1" applyFill="1" applyBorder="1" applyAlignment="1">
      <alignment horizontal="center" vertical="center"/>
    </xf>
    <xf numFmtId="8" fontId="7" fillId="39" borderId="41" xfId="1" applyNumberFormat="1" applyFont="1" applyFill="1" applyBorder="1" applyAlignment="1">
      <alignment horizontal="center" vertical="center"/>
    </xf>
    <xf numFmtId="8" fontId="7" fillId="8" borderId="41" xfId="1" applyNumberFormat="1" applyFont="1" applyFill="1" applyBorder="1" applyAlignment="1">
      <alignment horizontal="center" vertical="center"/>
    </xf>
    <xf numFmtId="8" fontId="7" fillId="36" borderId="41" xfId="1" applyNumberFormat="1" applyFont="1" applyFill="1" applyBorder="1" applyAlignment="1">
      <alignment horizontal="center" vertical="center"/>
    </xf>
    <xf numFmtId="8" fontId="7" fillId="0" borderId="41" xfId="1" applyNumberFormat="1" applyFont="1" applyBorder="1" applyAlignment="1">
      <alignment horizontal="center" vertical="center"/>
    </xf>
    <xf numFmtId="8" fontId="7" fillId="7" borderId="41" xfId="1" applyNumberFormat="1" applyFont="1" applyFill="1" applyBorder="1" applyAlignment="1">
      <alignment horizontal="center" vertical="center"/>
    </xf>
    <xf numFmtId="8" fontId="7" fillId="37" borderId="41" xfId="1" applyNumberFormat="1" applyFont="1" applyFill="1" applyBorder="1" applyAlignment="1">
      <alignment horizontal="center" vertical="center"/>
    </xf>
    <xf numFmtId="8" fontId="7" fillId="0" borderId="0" xfId="0" applyNumberFormat="1" applyFont="1" applyAlignment="1">
      <alignment vertical="center"/>
    </xf>
    <xf numFmtId="8" fontId="4" fillId="0" borderId="0" xfId="0" applyNumberFormat="1" applyFont="1"/>
    <xf numFmtId="8" fontId="4" fillId="0" borderId="0" xfId="1" applyNumberFormat="1" applyFont="1"/>
    <xf numFmtId="8" fontId="2" fillId="0" borderId="42" xfId="0" applyNumberFormat="1" applyFont="1" applyBorder="1" applyAlignment="1">
      <alignment horizontal="center" vertical="center"/>
    </xf>
    <xf numFmtId="8" fontId="5" fillId="3" borderId="42" xfId="1" applyNumberFormat="1" applyFont="1" applyFill="1" applyBorder="1" applyAlignment="1">
      <alignment horizontal="center" vertical="center"/>
    </xf>
    <xf numFmtId="8" fontId="6" fillId="0" borderId="0" xfId="1" applyNumberFormat="1" applyFont="1"/>
    <xf numFmtId="8" fontId="2" fillId="0" borderId="0" xfId="1" applyNumberFormat="1" applyFont="1" applyAlignment="1">
      <alignment horizontal="right"/>
    </xf>
    <xf numFmtId="8" fontId="50" fillId="0" borderId="0" xfId="1" applyNumberFormat="1" applyFont="1"/>
    <xf numFmtId="8" fontId="6" fillId="0" borderId="0" xfId="1" applyNumberFormat="1" applyFont="1" applyAlignment="1">
      <alignment horizontal="right"/>
    </xf>
    <xf numFmtId="40" fontId="2" fillId="0" borderId="42" xfId="1" applyNumberFormat="1" applyFont="1" applyBorder="1" applyAlignment="1">
      <alignment horizontal="center" vertical="center"/>
    </xf>
    <xf numFmtId="40" fontId="5" fillId="0" borderId="42" xfId="1" applyNumberFormat="1" applyFont="1" applyBorder="1" applyAlignment="1">
      <alignment horizontal="center" vertical="center" wrapText="1"/>
    </xf>
    <xf numFmtId="40" fontId="2" fillId="0" borderId="42" xfId="0" applyNumberFormat="1" applyFont="1" applyBorder="1"/>
    <xf numFmtId="40" fontId="2" fillId="0" borderId="0" xfId="1" applyNumberFormat="1" applyFont="1"/>
    <xf numFmtId="40" fontId="2" fillId="0" borderId="0" xfId="0" applyNumberFormat="1" applyFont="1"/>
    <xf numFmtId="0" fontId="7" fillId="3" borderId="41" xfId="0" applyFont="1" applyFill="1" applyBorder="1" applyAlignment="1">
      <alignment horizontal="right" vertical="center"/>
    </xf>
    <xf numFmtId="0" fontId="7" fillId="41" borderId="41" xfId="0" applyFont="1" applyFill="1" applyBorder="1" applyAlignment="1">
      <alignment horizontal="right" vertical="center"/>
    </xf>
    <xf numFmtId="8" fontId="7" fillId="41" borderId="41" xfId="1" applyNumberFormat="1" applyFont="1" applyFill="1" applyBorder="1" applyAlignment="1">
      <alignment horizontal="center" vertical="center"/>
    </xf>
    <xf numFmtId="0" fontId="7" fillId="41" borderId="41" xfId="0" applyFont="1" applyFill="1" applyBorder="1" applyAlignment="1">
      <alignment horizontal="right"/>
    </xf>
    <xf numFmtId="0" fontId="4" fillId="42" borderId="41" xfId="0" applyFont="1" applyFill="1" applyBorder="1" applyAlignment="1">
      <alignment horizontal="left" vertical="center"/>
    </xf>
    <xf numFmtId="8" fontId="7" fillId="42" borderId="41" xfId="1" applyNumberFormat="1" applyFont="1" applyFill="1" applyBorder="1" applyAlignment="1">
      <alignment horizontal="center" vertical="center"/>
    </xf>
    <xf numFmtId="0" fontId="4" fillId="42" borderId="41" xfId="0" applyFont="1" applyFill="1" applyBorder="1" applyAlignment="1">
      <alignment horizontal="left"/>
    </xf>
    <xf numFmtId="8" fontId="5" fillId="0" borderId="42" xfId="1" applyNumberFormat="1" applyFont="1" applyBorder="1" applyAlignment="1">
      <alignment horizontal="center" vertical="top" wrapText="1"/>
    </xf>
    <xf numFmtId="164" fontId="5" fillId="0" borderId="42" xfId="1" applyNumberFormat="1" applyFont="1" applyBorder="1" applyAlignment="1">
      <alignment horizontal="center" vertical="center"/>
    </xf>
    <xf numFmtId="164" fontId="6" fillId="0" borderId="42" xfId="1" applyNumberFormat="1" applyFont="1" applyBorder="1" applyAlignment="1">
      <alignment horizontal="center" vertical="center" wrapText="1"/>
    </xf>
    <xf numFmtId="8" fontId="5" fillId="0" borderId="42" xfId="1" applyNumberFormat="1" applyFont="1" applyBorder="1" applyAlignment="1">
      <alignment horizontal="center" vertical="center" wrapText="1"/>
    </xf>
    <xf numFmtId="12" fontId="5" fillId="0" borderId="42" xfId="1" applyNumberFormat="1" applyFont="1" applyBorder="1" applyAlignment="1">
      <alignment horizontal="center" vertical="top" wrapText="1"/>
    </xf>
    <xf numFmtId="8" fontId="6" fillId="3" borderId="42" xfId="1" applyNumberFormat="1" applyFont="1" applyFill="1" applyBorder="1" applyAlignment="1">
      <alignment horizontal="center" vertical="center"/>
    </xf>
    <xf numFmtId="8" fontId="7" fillId="6" borderId="42" xfId="1" applyNumberFormat="1" applyFont="1" applyFill="1" applyBorder="1" applyAlignment="1">
      <alignment horizontal="center" vertical="center"/>
    </xf>
    <xf numFmtId="8" fontId="7" fillId="2" borderId="42" xfId="1" applyNumberFormat="1" applyFont="1" applyFill="1" applyBorder="1" applyAlignment="1">
      <alignment horizontal="center" vertical="center"/>
    </xf>
    <xf numFmtId="8" fontId="7" fillId="3" borderId="42" xfId="1" applyNumberFormat="1" applyFont="1" applyFill="1" applyBorder="1" applyAlignment="1">
      <alignment horizontal="center" vertical="center"/>
    </xf>
    <xf numFmtId="8" fontId="7" fillId="41" borderId="42" xfId="1" applyNumberFormat="1" applyFont="1" applyFill="1" applyBorder="1" applyAlignment="1">
      <alignment horizontal="center" vertical="center"/>
    </xf>
    <xf numFmtId="8" fontId="54" fillId="8" borderId="42" xfId="1" applyNumberFormat="1" applyFont="1" applyFill="1" applyBorder="1" applyAlignment="1">
      <alignment horizontal="center" vertical="center"/>
    </xf>
    <xf numFmtId="8" fontId="54" fillId="36" borderId="42" xfId="1" applyNumberFormat="1" applyFont="1" applyFill="1" applyBorder="1" applyAlignment="1">
      <alignment horizontal="center" vertical="center"/>
    </xf>
    <xf numFmtId="8" fontId="54" fillId="42" borderId="42" xfId="1" applyNumberFormat="1" applyFont="1" applyFill="1" applyBorder="1" applyAlignment="1">
      <alignment horizontal="center" vertical="center"/>
    </xf>
    <xf numFmtId="8" fontId="54" fillId="0" borderId="42" xfId="1" applyNumberFormat="1" applyFont="1" applyBorder="1" applyAlignment="1">
      <alignment horizontal="center" vertical="center"/>
    </xf>
    <xf numFmtId="8" fontId="54" fillId="7" borderId="42" xfId="1" applyNumberFormat="1" applyFont="1" applyFill="1" applyBorder="1" applyAlignment="1">
      <alignment horizontal="center" vertical="center"/>
    </xf>
    <xf numFmtId="8" fontId="54" fillId="37" borderId="42" xfId="1" applyNumberFormat="1" applyFont="1" applyFill="1" applyBorder="1" applyAlignment="1">
      <alignment horizontal="center" vertical="center"/>
    </xf>
    <xf numFmtId="8" fontId="54" fillId="39" borderId="42" xfId="1" applyNumberFormat="1" applyFont="1" applyFill="1" applyBorder="1" applyAlignment="1">
      <alignment horizontal="center" vertical="center"/>
    </xf>
    <xf numFmtId="8" fontId="7" fillId="41" borderId="42" xfId="1" applyNumberFormat="1" applyFont="1" applyFill="1" applyBorder="1" applyAlignment="1">
      <alignment horizontal="center"/>
    </xf>
    <xf numFmtId="8" fontId="6" fillId="0" borderId="42" xfId="0" applyNumberFormat="1" applyFont="1" applyBorder="1" applyAlignment="1">
      <alignment horizontal="center" vertical="center" wrapText="1"/>
    </xf>
    <xf numFmtId="164" fontId="5" fillId="0" borderId="42" xfId="1" applyNumberFormat="1" applyFont="1" applyBorder="1" applyAlignment="1">
      <alignment horizontal="center" vertical="center" wrapText="1"/>
    </xf>
    <xf numFmtId="8" fontId="2" fillId="0" borderId="42" xfId="1" applyNumberFormat="1" applyFont="1" applyBorder="1" applyAlignment="1">
      <alignment horizontal="center" vertical="top"/>
    </xf>
    <xf numFmtId="8" fontId="5" fillId="35" borderId="42" xfId="1" applyNumberFormat="1" applyFont="1" applyFill="1" applyBorder="1" applyAlignment="1">
      <alignment horizontal="center" vertical="top" wrapText="1"/>
    </xf>
    <xf numFmtId="8" fontId="5" fillId="35" borderId="42" xfId="1" applyNumberFormat="1" applyFont="1" applyFill="1" applyBorder="1" applyAlignment="1">
      <alignment vertical="center"/>
    </xf>
    <xf numFmtId="8" fontId="51" fillId="0" borderId="42" xfId="1" applyNumberFormat="1" applyFont="1" applyBorder="1" applyAlignment="1">
      <alignment horizontal="center" vertical="center"/>
    </xf>
    <xf numFmtId="8" fontId="5" fillId="3" borderId="42" xfId="1" applyNumberFormat="1" applyFont="1" applyFill="1" applyBorder="1" applyAlignment="1">
      <alignment horizontal="center" vertical="top" wrapText="1"/>
    </xf>
    <xf numFmtId="167" fontId="6" fillId="0" borderId="42" xfId="1" applyNumberFormat="1" applyFont="1" applyBorder="1" applyAlignment="1">
      <alignment horizontal="center" vertical="center" wrapText="1"/>
    </xf>
    <xf numFmtId="164" fontId="5" fillId="3" borderId="42" xfId="1" applyNumberFormat="1" applyFont="1" applyFill="1" applyBorder="1" applyAlignment="1">
      <alignment horizontal="center" vertical="center"/>
    </xf>
    <xf numFmtId="8" fontId="2" fillId="0" borderId="42" xfId="0" applyNumberFormat="1" applyFont="1" applyBorder="1"/>
    <xf numFmtId="164" fontId="4" fillId="0" borderId="0" xfId="0" applyNumberFormat="1" applyFont="1" applyAlignment="1">
      <alignment horizontal="center"/>
    </xf>
    <xf numFmtId="8" fontId="5" fillId="0" borderId="42" xfId="0" applyNumberFormat="1" applyFont="1" applyBorder="1" applyAlignment="1">
      <alignment horizontal="center" vertical="top" wrapText="1"/>
    </xf>
    <xf numFmtId="49" fontId="5" fillId="0" borderId="42" xfId="0" applyNumberFormat="1" applyFont="1" applyBorder="1" applyAlignment="1">
      <alignment horizontal="center" vertical="center" wrapText="1"/>
    </xf>
    <xf numFmtId="8" fontId="7" fillId="44" borderId="42" xfId="1" applyNumberFormat="1" applyFont="1" applyFill="1" applyBorder="1" applyAlignment="1">
      <alignment horizontal="center" vertical="center"/>
    </xf>
    <xf numFmtId="0" fontId="4" fillId="44" borderId="41" xfId="0" applyFont="1" applyFill="1" applyBorder="1" applyAlignment="1">
      <alignment horizontal="right" vertical="center" wrapText="1"/>
    </xf>
    <xf numFmtId="8" fontId="5" fillId="0" borderId="42" xfId="1" applyNumberFormat="1" applyFont="1" applyBorder="1" applyAlignment="1">
      <alignment horizontal="right" vertical="center"/>
    </xf>
    <xf numFmtId="8" fontId="50" fillId="0" borderId="42" xfId="1" applyNumberFormat="1" applyFont="1" applyBorder="1" applyAlignment="1">
      <alignment horizontal="right" vertical="center"/>
    </xf>
    <xf numFmtId="43" fontId="7" fillId="44" borderId="42" xfId="1" applyNumberFormat="1" applyFont="1" applyFill="1" applyBorder="1" applyAlignment="1">
      <alignment horizontal="center" vertical="center"/>
    </xf>
    <xf numFmtId="8" fontId="7" fillId="0" borderId="0" xfId="1" applyNumberFormat="1" applyFont="1" applyAlignment="1">
      <alignment horizontal="center"/>
    </xf>
    <xf numFmtId="8" fontId="2" fillId="2" borderId="42" xfId="1" applyNumberFormat="1" applyFont="1" applyFill="1" applyBorder="1" applyAlignment="1">
      <alignment horizontal="center" vertical="center"/>
    </xf>
    <xf numFmtId="40" fontId="7" fillId="4" borderId="41" xfId="1" applyNumberFormat="1" applyFont="1" applyFill="1" applyBorder="1" applyAlignment="1">
      <alignment horizontal="center"/>
    </xf>
    <xf numFmtId="40" fontId="7" fillId="6" borderId="0" xfId="0" applyNumberFormat="1" applyFont="1" applyFill="1" applyAlignment="1">
      <alignment horizontal="center"/>
    </xf>
    <xf numFmtId="40" fontId="7" fillId="44" borderId="41" xfId="1" applyNumberFormat="1" applyFont="1" applyFill="1" applyBorder="1" applyAlignment="1">
      <alignment horizontal="center"/>
    </xf>
    <xf numFmtId="40" fontId="7" fillId="2" borderId="41" xfId="1" applyNumberFormat="1" applyFont="1" applyFill="1" applyBorder="1" applyAlignment="1">
      <alignment horizontal="center"/>
    </xf>
    <xf numFmtId="40" fontId="7" fillId="9" borderId="41" xfId="1" applyNumberFormat="1" applyFont="1" applyFill="1" applyBorder="1" applyAlignment="1">
      <alignment horizontal="center"/>
    </xf>
    <xf numFmtId="40" fontId="7" fillId="8" borderId="41" xfId="1" applyNumberFormat="1" applyFont="1" applyFill="1" applyBorder="1" applyAlignment="1">
      <alignment horizontal="center"/>
    </xf>
    <xf numFmtId="40" fontId="7" fillId="36" borderId="41" xfId="1" applyNumberFormat="1" applyFont="1" applyFill="1" applyBorder="1" applyAlignment="1">
      <alignment horizontal="center"/>
    </xf>
    <xf numFmtId="40" fontId="7" fillId="42" borderId="41" xfId="1" applyNumberFormat="1" applyFont="1" applyFill="1" applyBorder="1" applyAlignment="1">
      <alignment horizontal="center"/>
    </xf>
    <xf numFmtId="40" fontId="7" fillId="0" borderId="41" xfId="1" applyNumberFormat="1" applyFont="1" applyBorder="1" applyAlignment="1">
      <alignment horizontal="center"/>
    </xf>
    <xf numFmtId="40" fontId="7" fillId="7" borderId="41" xfId="1" applyNumberFormat="1" applyFont="1" applyFill="1" applyBorder="1" applyAlignment="1">
      <alignment horizontal="center"/>
    </xf>
    <xf numFmtId="40" fontId="7" fillId="37" borderId="41" xfId="1" applyNumberFormat="1" applyFont="1" applyFill="1" applyBorder="1" applyAlignment="1">
      <alignment horizontal="center"/>
    </xf>
    <xf numFmtId="40" fontId="7" fillId="39" borderId="41" xfId="1" applyNumberFormat="1" applyFont="1" applyFill="1" applyBorder="1" applyAlignment="1">
      <alignment horizontal="center"/>
    </xf>
    <xf numFmtId="40" fontId="4" fillId="0" borderId="42" xfId="1" applyNumberFormat="1" applyFont="1" applyBorder="1" applyAlignment="1">
      <alignment horizontal="center" vertical="center"/>
    </xf>
    <xf numFmtId="8" fontId="7" fillId="4" borderId="42" xfId="1" applyNumberFormat="1" applyFont="1" applyFill="1" applyBorder="1" applyAlignment="1">
      <alignment horizontal="center" vertical="center"/>
    </xf>
    <xf numFmtId="8" fontId="7" fillId="8" borderId="42" xfId="1" applyNumberFormat="1" applyFont="1" applyFill="1" applyBorder="1" applyAlignment="1">
      <alignment horizontal="center" vertical="center"/>
    </xf>
    <xf numFmtId="8" fontId="7" fillId="36" borderId="42" xfId="1" applyNumberFormat="1" applyFont="1" applyFill="1" applyBorder="1" applyAlignment="1">
      <alignment horizontal="center" vertical="center"/>
    </xf>
    <xf numFmtId="8" fontId="7" fillId="42" borderId="42" xfId="1" applyNumberFormat="1" applyFont="1" applyFill="1" applyBorder="1" applyAlignment="1">
      <alignment horizontal="center" vertical="center"/>
    </xf>
    <xf numFmtId="8" fontId="7" fillId="0" borderId="42" xfId="1" applyNumberFormat="1" applyFont="1" applyBorder="1" applyAlignment="1">
      <alignment horizontal="center" vertical="center"/>
    </xf>
    <xf numFmtId="8" fontId="7" fillId="7" borderId="42" xfId="1" applyNumberFormat="1" applyFont="1" applyFill="1" applyBorder="1" applyAlignment="1">
      <alignment horizontal="center" vertical="center"/>
    </xf>
    <xf numFmtId="40" fontId="7" fillId="4" borderId="42" xfId="1" applyNumberFormat="1" applyFont="1" applyFill="1" applyBorder="1" applyAlignment="1">
      <alignment horizontal="center"/>
    </xf>
    <xf numFmtId="40" fontId="7" fillId="6" borderId="41" xfId="1" applyNumberFormat="1" applyFont="1" applyFill="1" applyBorder="1" applyAlignment="1">
      <alignment horizontal="center"/>
    </xf>
    <xf numFmtId="40" fontId="7" fillId="6" borderId="42" xfId="1" applyNumberFormat="1" applyFont="1" applyFill="1" applyBorder="1" applyAlignment="1">
      <alignment horizontal="center"/>
    </xf>
    <xf numFmtId="40" fontId="7" fillId="44" borderId="42" xfId="1" applyNumberFormat="1" applyFont="1" applyFill="1" applyBorder="1" applyAlignment="1">
      <alignment horizontal="center" vertical="center"/>
    </xf>
    <xf numFmtId="40" fontId="7" fillId="2" borderId="42" xfId="1" applyNumberFormat="1" applyFont="1" applyFill="1" applyBorder="1" applyAlignment="1">
      <alignment horizontal="center"/>
    </xf>
    <xf numFmtId="40" fontId="7" fillId="9" borderId="42" xfId="1" applyNumberFormat="1" applyFont="1" applyFill="1" applyBorder="1" applyAlignment="1">
      <alignment horizontal="center"/>
    </xf>
    <xf numFmtId="40" fontId="7" fillId="8" borderId="42" xfId="1" applyNumberFormat="1" applyFont="1" applyFill="1" applyBorder="1" applyAlignment="1">
      <alignment horizontal="center"/>
    </xf>
    <xf numFmtId="40" fontId="7" fillId="36" borderId="42" xfId="1" applyNumberFormat="1" applyFont="1" applyFill="1" applyBorder="1" applyAlignment="1">
      <alignment horizontal="center"/>
    </xf>
    <xf numFmtId="40" fontId="7" fillId="42" borderId="42" xfId="1" applyNumberFormat="1" applyFont="1" applyFill="1" applyBorder="1" applyAlignment="1">
      <alignment horizontal="center"/>
    </xf>
    <xf numFmtId="40" fontId="7" fillId="0" borderId="42" xfId="1" applyNumberFormat="1" applyFont="1" applyBorder="1" applyAlignment="1">
      <alignment horizontal="center"/>
    </xf>
    <xf numFmtId="40" fontId="7" fillId="7" borderId="42" xfId="1" applyNumberFormat="1" applyFont="1" applyFill="1" applyBorder="1" applyAlignment="1">
      <alignment horizontal="center"/>
    </xf>
    <xf numFmtId="8" fontId="7" fillId="0" borderId="0" xfId="1" applyNumberFormat="1" applyFont="1" applyAlignment="1">
      <alignment horizontal="center" vertical="center"/>
    </xf>
    <xf numFmtId="8" fontId="3" fillId="42" borderId="42" xfId="1" applyNumberFormat="1" applyFont="1" applyFill="1" applyBorder="1" applyAlignment="1">
      <alignment horizontal="center" vertical="center"/>
    </xf>
    <xf numFmtId="40" fontId="6" fillId="42" borderId="42" xfId="1" applyNumberFormat="1" applyFont="1" applyFill="1" applyBorder="1" applyAlignment="1">
      <alignment horizontal="center" vertical="center" wrapText="1"/>
    </xf>
    <xf numFmtId="40" fontId="4" fillId="42" borderId="42" xfId="1" applyNumberFormat="1" applyFont="1" applyFill="1" applyBorder="1" applyAlignment="1">
      <alignment horizontal="center" vertical="center"/>
    </xf>
    <xf numFmtId="164" fontId="5" fillId="8" borderId="42" xfId="1" applyNumberFormat="1" applyFont="1" applyFill="1" applyBorder="1" applyAlignment="1">
      <alignment horizontal="center" vertical="center" wrapText="1"/>
    </xf>
    <xf numFmtId="8" fontId="2" fillId="8" borderId="42" xfId="0" applyNumberFormat="1" applyFont="1" applyFill="1" applyBorder="1" applyAlignment="1">
      <alignment horizontal="center" vertical="center"/>
    </xf>
    <xf numFmtId="8" fontId="5" fillId="8" borderId="42" xfId="0" applyNumberFormat="1" applyFont="1" applyFill="1" applyBorder="1" applyAlignment="1">
      <alignment horizontal="center" vertical="center"/>
    </xf>
    <xf numFmtId="43" fontId="7" fillId="6" borderId="42" xfId="1" applyNumberFormat="1" applyFont="1" applyFill="1" applyBorder="1" applyAlignment="1">
      <alignment horizontal="center" vertical="center"/>
    </xf>
    <xf numFmtId="40" fontId="7" fillId="44" borderId="42" xfId="1" applyNumberFormat="1" applyFont="1" applyFill="1" applyBorder="1" applyAlignment="1">
      <alignment horizontal="center"/>
    </xf>
    <xf numFmtId="40" fontId="4" fillId="0" borderId="0" xfId="0" applyNumberFormat="1" applyFont="1" applyAlignment="1">
      <alignment vertical="center"/>
    </xf>
    <xf numFmtId="44" fontId="2" fillId="0" borderId="0" xfId="1" applyFont="1" applyAlignment="1">
      <alignment horizontal="right"/>
    </xf>
    <xf numFmtId="44" fontId="3" fillId="0" borderId="0" xfId="1" applyFont="1" applyAlignment="1">
      <alignment vertical="center" wrapText="1"/>
    </xf>
    <xf numFmtId="0" fontId="2" fillId="0" borderId="0" xfId="0" applyFont="1" applyAlignment="1">
      <alignment horizontal="right"/>
    </xf>
    <xf numFmtId="6" fontId="2" fillId="0" borderId="0" xfId="0" applyNumberFormat="1" applyFont="1"/>
    <xf numFmtId="6" fontId="53" fillId="0" borderId="0" xfId="0" applyNumberFormat="1" applyFont="1"/>
    <xf numFmtId="0" fontId="2" fillId="0" borderId="42" xfId="0" applyFont="1" applyBorder="1" applyAlignment="1">
      <alignment horizontal="center" vertical="center"/>
    </xf>
    <xf numFmtId="167" fontId="6" fillId="0" borderId="42" xfId="1" applyNumberFormat="1" applyFont="1" applyBorder="1" applyAlignment="1">
      <alignment horizontal="center" vertical="top" wrapText="1"/>
    </xf>
    <xf numFmtId="8" fontId="5" fillId="0" borderId="42" xfId="1" applyNumberFormat="1" applyFont="1" applyBorder="1" applyAlignment="1">
      <alignment horizontal="center" vertical="top"/>
    </xf>
    <xf numFmtId="8" fontId="4" fillId="0" borderId="0" xfId="0" applyNumberFormat="1" applyFont="1" applyAlignment="1">
      <alignment horizontal="center"/>
    </xf>
    <xf numFmtId="40" fontId="7" fillId="6" borderId="42" xfId="0" applyNumberFormat="1" applyFont="1" applyFill="1" applyBorder="1" applyAlignment="1">
      <alignment horizontal="center"/>
    </xf>
    <xf numFmtId="43" fontId="7" fillId="4" borderId="41" xfId="1" applyNumberFormat="1" applyFont="1" applyFill="1" applyBorder="1" applyAlignment="1">
      <alignment horizontal="center" vertical="center"/>
    </xf>
    <xf numFmtId="0" fontId="4" fillId="47" borderId="42" xfId="0" applyFont="1" applyFill="1" applyBorder="1" applyAlignment="1">
      <alignment horizontal="center" wrapText="1"/>
    </xf>
    <xf numFmtId="44" fontId="4" fillId="47" borderId="42" xfId="1" applyFont="1" applyFill="1" applyBorder="1" applyAlignment="1">
      <alignment horizontal="center" wrapText="1"/>
    </xf>
    <xf numFmtId="0" fontId="2" fillId="0" borderId="42" xfId="0" applyFont="1" applyBorder="1"/>
    <xf numFmtId="168" fontId="5" fillId="0" borderId="7" xfId="0" applyNumberFormat="1" applyFont="1" applyBorder="1" applyAlignment="1">
      <alignment horizontal="right"/>
    </xf>
    <xf numFmtId="168" fontId="2" fillId="0" borderId="0" xfId="0" applyNumberFormat="1" applyFont="1"/>
    <xf numFmtId="168" fontId="4" fillId="0" borderId="0" xfId="0" applyNumberFormat="1" applyFont="1"/>
    <xf numFmtId="40" fontId="2" fillId="2" borderId="42" xfId="1" applyNumberFormat="1" applyFont="1" applyFill="1" applyBorder="1" applyAlignment="1">
      <alignment horizontal="center" vertical="center" wrapText="1"/>
    </xf>
    <xf numFmtId="8" fontId="6" fillId="0" borderId="42" xfId="1" applyNumberFormat="1" applyFont="1" applyBorder="1" applyAlignment="1">
      <alignment horizontal="center" vertical="center" wrapText="1"/>
    </xf>
    <xf numFmtId="8" fontId="5" fillId="0" borderId="42" xfId="1" applyNumberFormat="1" applyFont="1" applyBorder="1" applyAlignment="1">
      <alignment vertical="center"/>
    </xf>
    <xf numFmtId="8" fontId="2" fillId="0" borderId="42" xfId="1" applyNumberFormat="1" applyFont="1" applyBorder="1"/>
    <xf numFmtId="8" fontId="6" fillId="0" borderId="0" xfId="0" applyNumberFormat="1" applyFont="1" applyAlignment="1">
      <alignment horizontal="right"/>
    </xf>
    <xf numFmtId="8" fontId="2" fillId="5" borderId="42" xfId="1" applyNumberFormat="1" applyFont="1" applyFill="1" applyBorder="1" applyAlignment="1">
      <alignment horizontal="center" vertical="center"/>
    </xf>
    <xf numFmtId="8" fontId="2" fillId="45" borderId="42" xfId="1" applyNumberFormat="1" applyFont="1" applyFill="1" applyBorder="1" applyAlignment="1">
      <alignment horizontal="center" vertical="center"/>
    </xf>
    <xf numFmtId="0" fontId="2" fillId="0" borderId="42" xfId="0" applyFont="1" applyBorder="1" applyAlignment="1">
      <alignment horizontal="right"/>
    </xf>
    <xf numFmtId="8" fontId="4" fillId="0" borderId="0" xfId="1" applyNumberFormat="1" applyFont="1" applyAlignment="1">
      <alignment horizontal="center"/>
    </xf>
    <xf numFmtId="8" fontId="4" fillId="0" borderId="0" xfId="0" applyNumberFormat="1" applyFont="1" applyAlignment="1">
      <alignment horizontal="right"/>
    </xf>
    <xf numFmtId="8" fontId="2" fillId="0" borderId="0" xfId="0" applyNumberFormat="1" applyFont="1" applyAlignment="1">
      <alignment horizontal="right"/>
    </xf>
    <xf numFmtId="40" fontId="2" fillId="0" borderId="42" xfId="1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8" fontId="5" fillId="0" borderId="42" xfId="1" applyNumberFormat="1" applyFont="1" applyBorder="1" applyAlignment="1">
      <alignment horizontal="left" vertical="center"/>
    </xf>
    <xf numFmtId="8" fontId="4" fillId="49" borderId="41" xfId="1" applyNumberFormat="1" applyFont="1" applyFill="1" applyBorder="1" applyAlignment="1">
      <alignment horizontal="left" vertical="center"/>
    </xf>
    <xf numFmtId="8" fontId="7" fillId="49" borderId="42" xfId="1" applyNumberFormat="1" applyFont="1" applyFill="1" applyBorder="1" applyAlignment="1">
      <alignment horizontal="center" vertical="center"/>
    </xf>
    <xf numFmtId="8" fontId="7" fillId="49" borderId="41" xfId="1" applyNumberFormat="1" applyFont="1" applyFill="1" applyBorder="1" applyAlignment="1">
      <alignment horizontal="center" vertical="center"/>
    </xf>
    <xf numFmtId="8" fontId="2" fillId="0" borderId="42" xfId="1" applyNumberFormat="1" applyFont="1" applyBorder="1" applyAlignment="1">
      <alignment horizontal="right"/>
    </xf>
    <xf numFmtId="49" fontId="5" fillId="0" borderId="0" xfId="0" applyNumberFormat="1" applyFont="1" applyAlignment="1">
      <alignment horizontal="right"/>
    </xf>
    <xf numFmtId="49" fontId="5" fillId="0" borderId="42" xfId="0" applyNumberFormat="1" applyFont="1" applyBorder="1" applyAlignment="1">
      <alignment horizontal="left"/>
    </xf>
    <xf numFmtId="8" fontId="2" fillId="5" borderId="42" xfId="1" applyNumberFormat="1" applyFont="1" applyFill="1" applyBorder="1" applyAlignment="1">
      <alignment horizontal="left" vertical="center" wrapText="1"/>
    </xf>
    <xf numFmtId="8" fontId="6" fillId="49" borderId="42" xfId="1" applyNumberFormat="1" applyFont="1" applyFill="1" applyBorder="1" applyAlignment="1">
      <alignment horizontal="center" vertical="center"/>
    </xf>
    <xf numFmtId="0" fontId="56" fillId="50" borderId="42" xfId="0" applyFont="1" applyFill="1" applyBorder="1"/>
    <xf numFmtId="8" fontId="2" fillId="50" borderId="42" xfId="1" applyNumberFormat="1" applyFont="1" applyFill="1" applyBorder="1" applyAlignment="1">
      <alignment vertical="center"/>
    </xf>
    <xf numFmtId="8" fontId="2" fillId="50" borderId="42" xfId="1" applyNumberFormat="1" applyFont="1" applyFill="1" applyBorder="1" applyAlignment="1">
      <alignment vertical="center" wrapText="1"/>
    </xf>
    <xf numFmtId="8" fontId="2" fillId="50" borderId="42" xfId="0" applyNumberFormat="1" applyFont="1" applyFill="1" applyBorder="1"/>
    <xf numFmtId="44" fontId="5" fillId="0" borderId="42" xfId="1" applyFont="1" applyBorder="1" applyAlignment="1">
      <alignment horizontal="center" vertical="top"/>
    </xf>
    <xf numFmtId="44" fontId="5" fillId="0" borderId="42" xfId="1" applyFont="1" applyBorder="1" applyAlignment="1">
      <alignment vertical="center"/>
    </xf>
    <xf numFmtId="8" fontId="2" fillId="0" borderId="42" xfId="1" applyNumberFormat="1" applyFont="1" applyBorder="1" applyAlignment="1">
      <alignment horizontal="right" vertical="center"/>
    </xf>
    <xf numFmtId="168" fontId="5" fillId="0" borderId="42" xfId="0" applyNumberFormat="1" applyFont="1" applyBorder="1" applyAlignment="1">
      <alignment horizontal="right"/>
    </xf>
    <xf numFmtId="8" fontId="5" fillId="0" borderId="42" xfId="0" applyNumberFormat="1" applyFont="1" applyBorder="1" applyAlignment="1">
      <alignment horizontal="left" vertical="top"/>
    </xf>
    <xf numFmtId="8" fontId="5" fillId="0" borderId="42" xfId="0" applyNumberFormat="1" applyFont="1" applyBorder="1" applyAlignment="1">
      <alignment horizontal="right" vertical="top"/>
    </xf>
    <xf numFmtId="8" fontId="2" fillId="40" borderId="42" xfId="1" applyNumberFormat="1" applyFont="1" applyFill="1" applyBorder="1"/>
    <xf numFmtId="8" fontId="6" fillId="40" borderId="42" xfId="1" applyNumberFormat="1" applyFont="1" applyFill="1" applyBorder="1"/>
    <xf numFmtId="44" fontId="2" fillId="40" borderId="42" xfId="1" applyFont="1" applyFill="1" applyBorder="1"/>
    <xf numFmtId="8" fontId="6" fillId="0" borderId="42" xfId="906" applyNumberFormat="1" applyFont="1" applyBorder="1"/>
    <xf numFmtId="8" fontId="6" fillId="46" borderId="42" xfId="906" applyNumberFormat="1" applyFont="1" applyFill="1" applyBorder="1"/>
    <xf numFmtId="8" fontId="2" fillId="50" borderId="42" xfId="1193" applyNumberFormat="1" applyFont="1" applyFill="1" applyBorder="1"/>
    <xf numFmtId="165" fontId="55" fillId="50" borderId="42" xfId="906" applyFont="1" applyFill="1" applyBorder="1"/>
    <xf numFmtId="0" fontId="0" fillId="50" borderId="42" xfId="0" applyFill="1" applyBorder="1"/>
    <xf numFmtId="40" fontId="5" fillId="51" borderId="42" xfId="1" applyNumberFormat="1" applyFont="1" applyFill="1" applyBorder="1" applyAlignment="1">
      <alignment horizontal="center" vertical="center" wrapText="1"/>
    </xf>
    <xf numFmtId="8" fontId="2" fillId="0" borderId="42" xfId="1" applyNumberFormat="1" applyFont="1" applyBorder="1" applyAlignment="1">
      <alignment horizontal="right" vertical="center" wrapText="1"/>
    </xf>
    <xf numFmtId="8" fontId="6" fillId="0" borderId="42" xfId="1" applyNumberFormat="1" applyFont="1" applyBorder="1" applyAlignment="1">
      <alignment horizontal="right" vertical="center" wrapText="1"/>
    </xf>
    <xf numFmtId="8" fontId="2" fillId="45" borderId="42" xfId="1" applyNumberFormat="1" applyFont="1" applyFill="1" applyBorder="1" applyAlignment="1">
      <alignment horizontal="right" vertical="center" wrapText="1"/>
    </xf>
    <xf numFmtId="8" fontId="2" fillId="0" borderId="42" xfId="0" applyNumberFormat="1" applyFont="1" applyBorder="1" applyAlignment="1">
      <alignment horizontal="right"/>
    </xf>
    <xf numFmtId="8" fontId="7" fillId="49" borderId="42" xfId="1" applyNumberFormat="1" applyFont="1" applyFill="1" applyBorder="1" applyAlignment="1">
      <alignment horizontal="right" vertical="center"/>
    </xf>
    <xf numFmtId="8" fontId="2" fillId="3" borderId="42" xfId="1" applyNumberFormat="1" applyFont="1" applyFill="1" applyBorder="1" applyAlignment="1">
      <alignment horizontal="right" vertical="center" wrapText="1"/>
    </xf>
    <xf numFmtId="8" fontId="2" fillId="5" borderId="42" xfId="1" applyNumberFormat="1" applyFont="1" applyFill="1" applyBorder="1" applyAlignment="1">
      <alignment horizontal="right" vertical="center" wrapText="1"/>
    </xf>
    <xf numFmtId="165" fontId="55" fillId="50" borderId="42" xfId="906" applyFont="1" applyFill="1" applyBorder="1" applyAlignment="1">
      <alignment horizontal="right"/>
    </xf>
    <xf numFmtId="8" fontId="6" fillId="49" borderId="42" xfId="1" applyNumberFormat="1" applyFont="1" applyFill="1" applyBorder="1" applyAlignment="1">
      <alignment horizontal="right" vertical="center"/>
    </xf>
    <xf numFmtId="8" fontId="6" fillId="0" borderId="42" xfId="1" applyNumberFormat="1" applyFont="1" applyBorder="1" applyAlignment="1">
      <alignment horizontal="right" vertical="center"/>
    </xf>
    <xf numFmtId="8" fontId="5" fillId="0" borderId="42" xfId="1" applyNumberFormat="1" applyFont="1" applyBorder="1" applyAlignment="1">
      <alignment horizontal="right" vertical="center" wrapText="1"/>
    </xf>
    <xf numFmtId="8" fontId="2" fillId="3" borderId="42" xfId="1" applyNumberFormat="1" applyFont="1" applyFill="1" applyBorder="1" applyAlignment="1">
      <alignment horizontal="right" vertical="center"/>
    </xf>
    <xf numFmtId="8" fontId="4" fillId="0" borderId="0" xfId="1" applyNumberFormat="1" applyFont="1" applyAlignment="1">
      <alignment horizontal="right"/>
    </xf>
    <xf numFmtId="8" fontId="2" fillId="4" borderId="42" xfId="1" applyNumberFormat="1" applyFont="1" applyFill="1" applyBorder="1" applyAlignment="1">
      <alignment horizontal="right" vertical="center"/>
    </xf>
    <xf numFmtId="8" fontId="2" fillId="2" borderId="42" xfId="1" applyNumberFormat="1" applyFont="1" applyFill="1" applyBorder="1" applyAlignment="1">
      <alignment horizontal="right" vertical="center" wrapText="1"/>
    </xf>
    <xf numFmtId="8" fontId="2" fillId="43" borderId="42" xfId="0" applyNumberFormat="1" applyFont="1" applyFill="1" applyBorder="1" applyAlignment="1">
      <alignment horizontal="right"/>
    </xf>
    <xf numFmtId="8" fontId="5" fillId="46" borderId="42" xfId="1" applyNumberFormat="1" applyFont="1" applyFill="1" applyBorder="1" applyAlignment="1">
      <alignment horizontal="right" vertical="center"/>
    </xf>
    <xf numFmtId="8" fontId="5" fillId="46" borderId="42" xfId="1" applyNumberFormat="1" applyFont="1" applyFill="1" applyBorder="1" applyAlignment="1">
      <alignment horizontal="right" vertical="center" wrapText="1"/>
    </xf>
    <xf numFmtId="8" fontId="2" fillId="50" borderId="42" xfId="1" applyNumberFormat="1" applyFont="1" applyFill="1" applyBorder="1" applyAlignment="1">
      <alignment horizontal="right" vertical="center"/>
    </xf>
    <xf numFmtId="8" fontId="2" fillId="50" borderId="42" xfId="0" applyNumberFormat="1" applyFont="1" applyFill="1" applyBorder="1" applyAlignment="1">
      <alignment horizontal="right"/>
    </xf>
    <xf numFmtId="8" fontId="2" fillId="50" borderId="42" xfId="1193" applyNumberFormat="1" applyFont="1" applyFill="1" applyBorder="1" applyAlignment="1">
      <alignment horizontal="right"/>
    </xf>
    <xf numFmtId="8" fontId="11" fillId="46" borderId="42" xfId="1" applyNumberFormat="1" applyFont="1" applyFill="1" applyBorder="1" applyAlignment="1">
      <alignment horizontal="right" vertical="center" wrapText="1"/>
    </xf>
    <xf numFmtId="8" fontId="6" fillId="46" borderId="42" xfId="1" applyNumberFormat="1" applyFont="1" applyFill="1" applyBorder="1" applyAlignment="1">
      <alignment horizontal="right" vertical="center" wrapText="1"/>
    </xf>
    <xf numFmtId="8" fontId="6" fillId="46" borderId="42" xfId="1" applyNumberFormat="1" applyFont="1" applyFill="1" applyBorder="1" applyAlignment="1">
      <alignment horizontal="right" vertical="center"/>
    </xf>
    <xf numFmtId="8" fontId="50" fillId="46" borderId="42" xfId="1" applyNumberFormat="1" applyFont="1" applyFill="1" applyBorder="1" applyAlignment="1">
      <alignment horizontal="right" vertical="center"/>
    </xf>
    <xf numFmtId="8" fontId="2" fillId="46" borderId="42" xfId="0" applyNumberFormat="1" applyFont="1" applyFill="1" applyBorder="1" applyAlignment="1">
      <alignment horizontal="right"/>
    </xf>
    <xf numFmtId="40" fontId="5" fillId="0" borderId="42" xfId="1" applyNumberFormat="1" applyFont="1" applyBorder="1" applyAlignment="1">
      <alignment horizontal="right" vertical="center" wrapText="1"/>
    </xf>
    <xf numFmtId="40" fontId="5" fillId="51" borderId="42" xfId="1" applyNumberFormat="1" applyFont="1" applyFill="1" applyBorder="1" applyAlignment="1">
      <alignment horizontal="right" vertical="center" wrapText="1"/>
    </xf>
    <xf numFmtId="40" fontId="2" fillId="0" borderId="42" xfId="1" applyNumberFormat="1" applyFont="1" applyBorder="1" applyAlignment="1">
      <alignment horizontal="right" vertical="center" wrapText="1"/>
    </xf>
    <xf numFmtId="8" fontId="6" fillId="0" borderId="42" xfId="0" applyNumberFormat="1" applyFont="1" applyBorder="1" applyAlignment="1">
      <alignment horizontal="right" vertical="center" wrapText="1"/>
    </xf>
    <xf numFmtId="8" fontId="5" fillId="3" borderId="42" xfId="1" applyNumberFormat="1" applyFont="1" applyFill="1" applyBorder="1" applyAlignment="1">
      <alignment horizontal="right" vertical="center"/>
    </xf>
    <xf numFmtId="0" fontId="56" fillId="50" borderId="42" xfId="0" applyFont="1" applyFill="1" applyBorder="1" applyAlignment="1">
      <alignment horizontal="right"/>
    </xf>
    <xf numFmtId="8" fontId="2" fillId="50" borderId="42" xfId="1" applyNumberFormat="1" applyFont="1" applyFill="1" applyBorder="1" applyAlignment="1">
      <alignment horizontal="right" vertical="center" wrapText="1"/>
    </xf>
    <xf numFmtId="40" fontId="4" fillId="50" borderId="42" xfId="1" applyNumberFormat="1" applyFont="1" applyFill="1" applyBorder="1" applyAlignment="1">
      <alignment horizontal="right" vertical="center" wrapText="1"/>
    </xf>
    <xf numFmtId="40" fontId="2" fillId="0" borderId="42" xfId="1" applyNumberFormat="1" applyFont="1" applyBorder="1" applyAlignment="1">
      <alignment horizontal="right" vertical="center"/>
    </xf>
    <xf numFmtId="8" fontId="2" fillId="0" borderId="42" xfId="0" applyNumberFormat="1" applyFont="1" applyBorder="1" applyAlignment="1">
      <alignment horizontal="right" vertical="center"/>
    </xf>
    <xf numFmtId="40" fontId="2" fillId="0" borderId="42" xfId="0" applyNumberFormat="1" applyFont="1" applyBorder="1" applyAlignment="1">
      <alignment horizontal="right" vertical="center"/>
    </xf>
    <xf numFmtId="8" fontId="2" fillId="3" borderId="42" xfId="0" applyNumberFormat="1" applyFont="1" applyFill="1" applyBorder="1" applyAlignment="1">
      <alignment horizontal="right" vertical="center"/>
    </xf>
    <xf numFmtId="8" fontId="3" fillId="3" borderId="42" xfId="1" applyNumberFormat="1" applyFont="1" applyFill="1" applyBorder="1" applyAlignment="1">
      <alignment horizontal="right" vertical="center"/>
    </xf>
    <xf numFmtId="8" fontId="2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right"/>
    </xf>
    <xf numFmtId="40" fontId="2" fillId="0" borderId="0" xfId="1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40" fontId="2" fillId="0" borderId="0" xfId="0" applyNumberFormat="1" applyFont="1" applyAlignment="1">
      <alignment horizontal="right"/>
    </xf>
    <xf numFmtId="0" fontId="0" fillId="48" borderId="42" xfId="0" applyFill="1" applyBorder="1" applyAlignment="1">
      <alignment horizontal="right"/>
    </xf>
    <xf numFmtId="0" fontId="0" fillId="50" borderId="42" xfId="0" applyFill="1" applyBorder="1" applyAlignment="1">
      <alignment horizontal="right"/>
    </xf>
    <xf numFmtId="8" fontId="5" fillId="0" borderId="42" xfId="0" applyNumberFormat="1" applyFont="1" applyBorder="1" applyAlignment="1">
      <alignment horizontal="right"/>
    </xf>
    <xf numFmtId="8" fontId="2" fillId="2" borderId="42" xfId="1" applyNumberFormat="1" applyFont="1" applyFill="1" applyBorder="1" applyAlignment="1">
      <alignment horizontal="right" vertical="center"/>
    </xf>
    <xf numFmtId="8" fontId="5" fillId="3" borderId="42" xfId="1" applyNumberFormat="1" applyFont="1" applyFill="1" applyBorder="1" applyAlignment="1">
      <alignment horizontal="right" vertical="top"/>
    </xf>
    <xf numFmtId="8" fontId="5" fillId="0" borderId="7" xfId="0" applyNumberFormat="1" applyFont="1" applyBorder="1" applyAlignment="1">
      <alignment horizontal="right"/>
    </xf>
    <xf numFmtId="8" fontId="2" fillId="0" borderId="12" xfId="0" applyNumberFormat="1" applyFont="1" applyBorder="1" applyAlignment="1">
      <alignment horizontal="right" vertical="center"/>
    </xf>
    <xf numFmtId="8" fontId="2" fillId="0" borderId="12" xfId="1" applyNumberFormat="1" applyFont="1" applyBorder="1" applyAlignment="1">
      <alignment horizontal="right"/>
    </xf>
    <xf numFmtId="8" fontId="2" fillId="2" borderId="42" xfId="0" applyNumberFormat="1" applyFont="1" applyFill="1" applyBorder="1" applyAlignment="1">
      <alignment horizontal="right" vertical="center"/>
    </xf>
    <xf numFmtId="8" fontId="2" fillId="0" borderId="0" xfId="1" applyNumberFormat="1" applyFont="1" applyAlignment="1">
      <alignment horizontal="right" vertical="center"/>
    </xf>
    <xf numFmtId="8" fontId="50" fillId="0" borderId="0" xfId="1" applyNumberFormat="1" applyFont="1" applyAlignment="1">
      <alignment horizontal="right"/>
    </xf>
    <xf numFmtId="8" fontId="50" fillId="0" borderId="0" xfId="0" applyNumberFormat="1" applyFont="1" applyAlignment="1">
      <alignment horizontal="right"/>
    </xf>
    <xf numFmtId="8" fontId="2" fillId="0" borderId="43" xfId="1" applyNumberFormat="1" applyFont="1" applyBorder="1" applyAlignment="1">
      <alignment horizontal="center" vertical="center"/>
    </xf>
    <xf numFmtId="8" fontId="5" fillId="52" borderId="42" xfId="1" applyNumberFormat="1" applyFont="1" applyFill="1" applyBorder="1" applyAlignment="1">
      <alignment horizontal="center" vertical="top" wrapText="1"/>
    </xf>
    <xf numFmtId="8" fontId="2" fillId="52" borderId="42" xfId="1" applyNumberFormat="1" applyFont="1" applyFill="1" applyBorder="1" applyAlignment="1">
      <alignment vertical="center" wrapText="1"/>
    </xf>
    <xf numFmtId="8" fontId="5" fillId="52" borderId="42" xfId="1" applyNumberFormat="1" applyFont="1" applyFill="1" applyBorder="1" applyAlignment="1">
      <alignment horizontal="center" vertical="center"/>
    </xf>
    <xf numFmtId="8" fontId="2" fillId="52" borderId="42" xfId="1" applyNumberFormat="1" applyFont="1" applyFill="1" applyBorder="1" applyAlignment="1">
      <alignment horizontal="center" vertical="center"/>
    </xf>
    <xf numFmtId="8" fontId="4" fillId="52" borderId="42" xfId="1" applyNumberFormat="1" applyFont="1" applyFill="1" applyBorder="1" applyAlignment="1">
      <alignment horizontal="right" vertical="center" wrapText="1"/>
    </xf>
    <xf numFmtId="8" fontId="5" fillId="52" borderId="43" xfId="1" applyNumberFormat="1" applyFont="1" applyFill="1" applyBorder="1" applyAlignment="1">
      <alignment vertical="top" wrapText="1"/>
    </xf>
    <xf numFmtId="8" fontId="2" fillId="52" borderId="42" xfId="1193" applyNumberFormat="1" applyFont="1" applyFill="1" applyBorder="1"/>
    <xf numFmtId="164" fontId="5" fillId="52" borderId="42" xfId="1" applyNumberFormat="1" applyFont="1" applyFill="1" applyBorder="1" applyAlignment="1">
      <alignment horizontal="center" vertical="center"/>
    </xf>
    <xf numFmtId="8" fontId="6" fillId="52" borderId="42" xfId="0" applyNumberFormat="1" applyFont="1" applyFill="1" applyBorder="1" applyAlignment="1">
      <alignment horizontal="center" vertical="center" wrapText="1"/>
    </xf>
    <xf numFmtId="8" fontId="6" fillId="52" borderId="42" xfId="0" applyNumberFormat="1" applyFont="1" applyFill="1" applyBorder="1" applyAlignment="1">
      <alignment horizontal="right" vertical="center" wrapText="1"/>
    </xf>
    <xf numFmtId="8" fontId="2" fillId="52" borderId="42" xfId="0" applyNumberFormat="1" applyFont="1" applyFill="1" applyBorder="1" applyAlignment="1">
      <alignment horizontal="right" vertical="center"/>
    </xf>
    <xf numFmtId="8" fontId="5" fillId="52" borderId="42" xfId="1" applyNumberFormat="1" applyFont="1" applyFill="1" applyBorder="1" applyAlignment="1">
      <alignment horizontal="right" vertical="center"/>
    </xf>
    <xf numFmtId="8" fontId="6" fillId="52" borderId="42" xfId="1" applyNumberFormat="1" applyFont="1" applyFill="1" applyBorder="1" applyAlignment="1">
      <alignment horizontal="right" vertical="center"/>
    </xf>
    <xf numFmtId="8" fontId="6" fillId="52" borderId="42" xfId="1" applyNumberFormat="1" applyFont="1" applyFill="1" applyBorder="1" applyAlignment="1">
      <alignment horizontal="center" vertical="center"/>
    </xf>
    <xf numFmtId="8" fontId="7" fillId="52" borderId="42" xfId="1" applyNumberFormat="1" applyFont="1" applyFill="1" applyBorder="1" applyAlignment="1">
      <alignment horizontal="right" vertical="center"/>
    </xf>
    <xf numFmtId="8" fontId="59" fillId="50" borderId="42" xfId="906" applyNumberFormat="1" applyFont="1" applyFill="1" applyBorder="1"/>
    <xf numFmtId="8" fontId="60" fillId="50" borderId="42" xfId="0" applyNumberFormat="1" applyFont="1" applyFill="1" applyBorder="1" applyAlignment="1">
      <alignment horizontal="right"/>
    </xf>
    <xf numFmtId="8" fontId="2" fillId="3" borderId="42" xfId="0" applyNumberFormat="1" applyFont="1" applyFill="1" applyBorder="1" applyAlignment="1">
      <alignment horizontal="right"/>
    </xf>
    <xf numFmtId="8" fontId="59" fillId="48" borderId="42" xfId="906" applyNumberFormat="1" applyFont="1" applyFill="1" applyBorder="1"/>
    <xf numFmtId="8" fontId="2" fillId="48" borderId="42" xfId="0" applyNumberFormat="1" applyFont="1" applyFill="1" applyBorder="1" applyAlignment="1">
      <alignment horizontal="right"/>
    </xf>
    <xf numFmtId="8" fontId="50" fillId="0" borderId="0" xfId="1" applyNumberFormat="1" applyFont="1" applyAlignment="1">
      <alignment horizontal="right" vertical="center"/>
    </xf>
    <xf numFmtId="8" fontId="3" fillId="42" borderId="42" xfId="1" applyNumberFormat="1" applyFont="1" applyFill="1" applyBorder="1" applyAlignment="1">
      <alignment horizontal="center" vertical="center" wrapText="1"/>
    </xf>
    <xf numFmtId="8" fontId="4" fillId="0" borderId="0" xfId="0" applyNumberFormat="1" applyFont="1" applyAlignment="1">
      <alignment horizontal="center" vertical="center" wrapText="1"/>
    </xf>
    <xf numFmtId="49" fontId="3" fillId="0" borderId="42" xfId="0" applyNumberFormat="1" applyFont="1" applyBorder="1" applyAlignment="1">
      <alignment horizontal="center" vertical="center"/>
    </xf>
    <xf numFmtId="49" fontId="5" fillId="0" borderId="42" xfId="0" applyNumberFormat="1" applyFont="1" applyBorder="1" applyAlignment="1">
      <alignment horizontal="center" vertical="center"/>
    </xf>
    <xf numFmtId="44" fontId="6" fillId="40" borderId="42" xfId="1" applyFont="1" applyFill="1" applyBorder="1" applyAlignment="1">
      <alignment horizontal="center" vertical="center" wrapText="1"/>
    </xf>
    <xf numFmtId="44" fontId="5" fillId="40" borderId="42" xfId="1" applyFont="1" applyFill="1" applyBorder="1" applyAlignment="1">
      <alignment horizontal="center" vertical="center" wrapText="1"/>
    </xf>
    <xf numFmtId="0" fontId="61" fillId="50" borderId="42" xfId="0" applyFont="1" applyFill="1" applyBorder="1"/>
    <xf numFmtId="44" fontId="6" fillId="40" borderId="42" xfId="1" applyFont="1" applyFill="1" applyBorder="1"/>
    <xf numFmtId="44" fontId="6" fillId="0" borderId="0" xfId="1" applyFont="1"/>
    <xf numFmtId="8" fontId="6" fillId="0" borderId="0" xfId="0" applyNumberFormat="1" applyFont="1"/>
    <xf numFmtId="8" fontId="2" fillId="3" borderId="42" xfId="1" applyNumberFormat="1" applyFont="1" applyFill="1" applyBorder="1" applyAlignment="1">
      <alignment horizontal="right"/>
    </xf>
    <xf numFmtId="8" fontId="2" fillId="4" borderId="42" xfId="1" applyNumberFormat="1" applyFont="1" applyFill="1" applyBorder="1"/>
    <xf numFmtId="8" fontId="60" fillId="0" borderId="42" xfId="0" applyNumberFormat="1" applyFont="1" applyBorder="1" applyAlignment="1">
      <alignment horizontal="right"/>
    </xf>
    <xf numFmtId="165" fontId="55" fillId="0" borderId="42" xfId="906" applyFont="1" applyBorder="1" applyAlignment="1">
      <alignment horizontal="right"/>
    </xf>
    <xf numFmtId="8" fontId="2" fillId="52" borderId="42" xfId="1" applyNumberFormat="1" applyFont="1" applyFill="1" applyBorder="1" applyAlignment="1">
      <alignment horizontal="center" vertical="center" wrapText="1"/>
    </xf>
    <xf numFmtId="8" fontId="54" fillId="0" borderId="0" xfId="1" applyNumberFormat="1" applyFont="1" applyAlignment="1">
      <alignment horizontal="center"/>
    </xf>
    <xf numFmtId="8" fontId="7" fillId="4" borderId="42" xfId="1" applyNumberFormat="1" applyFont="1" applyFill="1" applyBorder="1" applyAlignment="1">
      <alignment horizontal="center"/>
    </xf>
    <xf numFmtId="8" fontId="7" fillId="6" borderId="0" xfId="1" applyNumberFormat="1" applyFont="1" applyFill="1" applyAlignment="1">
      <alignment horizontal="center"/>
    </xf>
    <xf numFmtId="8" fontId="7" fillId="44" borderId="42" xfId="1" applyNumberFormat="1" applyFont="1" applyFill="1" applyBorder="1" applyAlignment="1">
      <alignment horizontal="center"/>
    </xf>
    <xf numFmtId="8" fontId="7" fillId="2" borderId="42" xfId="1" applyNumberFormat="1" applyFont="1" applyFill="1" applyBorder="1" applyAlignment="1">
      <alignment horizontal="center"/>
    </xf>
    <xf numFmtId="8" fontId="7" fillId="3" borderId="42" xfId="1" applyNumberFormat="1" applyFont="1" applyFill="1" applyBorder="1" applyAlignment="1">
      <alignment horizontal="center"/>
    </xf>
    <xf numFmtId="8" fontId="4" fillId="49" borderId="41" xfId="1" applyNumberFormat="1" applyFont="1" applyFill="1" applyBorder="1" applyAlignment="1">
      <alignment horizontal="center" vertical="center"/>
    </xf>
    <xf numFmtId="8" fontId="7" fillId="42" borderId="42" xfId="1" applyNumberFormat="1" applyFont="1" applyFill="1" applyBorder="1" applyAlignment="1">
      <alignment horizontal="center"/>
    </xf>
    <xf numFmtId="8" fontId="7" fillId="0" borderId="42" xfId="1" applyNumberFormat="1" applyFont="1" applyBorder="1" applyAlignment="1">
      <alignment horizontal="center"/>
    </xf>
    <xf numFmtId="8" fontId="7" fillId="8" borderId="42" xfId="1" applyNumberFormat="1" applyFont="1" applyFill="1" applyBorder="1" applyAlignment="1">
      <alignment horizontal="center"/>
    </xf>
    <xf numFmtId="8" fontId="7" fillId="36" borderId="42" xfId="1" applyNumberFormat="1" applyFont="1" applyFill="1" applyBorder="1" applyAlignment="1">
      <alignment horizontal="center"/>
    </xf>
    <xf numFmtId="8" fontId="7" fillId="7" borderId="42" xfId="1" applyNumberFormat="1" applyFont="1" applyFill="1" applyBorder="1" applyAlignment="1">
      <alignment horizontal="center"/>
    </xf>
    <xf numFmtId="8" fontId="7" fillId="37" borderId="42" xfId="1" applyNumberFormat="1" applyFont="1" applyFill="1" applyBorder="1" applyAlignment="1">
      <alignment horizontal="center"/>
    </xf>
    <xf numFmtId="8" fontId="7" fillId="39" borderId="42" xfId="1" applyNumberFormat="1" applyFont="1" applyFill="1" applyBorder="1" applyAlignment="1">
      <alignment horizontal="center"/>
    </xf>
    <xf numFmtId="164" fontId="5" fillId="0" borderId="42" xfId="1" applyNumberFormat="1" applyFont="1" applyBorder="1" applyAlignment="1">
      <alignment horizontal="right" vertical="center"/>
    </xf>
    <xf numFmtId="164" fontId="55" fillId="50" borderId="42" xfId="906" applyNumberFormat="1" applyFont="1" applyFill="1" applyBorder="1" applyAlignment="1">
      <alignment horizontal="right"/>
    </xf>
    <xf numFmtId="164" fontId="2" fillId="0" borderId="42" xfId="1" applyNumberFormat="1" applyFont="1" applyBorder="1" applyAlignment="1">
      <alignment horizontal="right" vertical="center"/>
    </xf>
    <xf numFmtId="0" fontId="0" fillId="0" borderId="42" xfId="0" applyBorder="1" applyAlignment="1">
      <alignment horizontal="right"/>
    </xf>
    <xf numFmtId="0" fontId="2" fillId="4" borderId="42" xfId="0" applyFont="1" applyFill="1" applyBorder="1"/>
    <xf numFmtId="164" fontId="2" fillId="4" borderId="42" xfId="0" applyNumberFormat="1" applyFont="1" applyFill="1" applyBorder="1"/>
    <xf numFmtId="8" fontId="5" fillId="4" borderId="42" xfId="1" applyNumberFormat="1" applyFont="1" applyFill="1" applyBorder="1" applyAlignment="1">
      <alignment horizontal="right" vertical="center"/>
    </xf>
    <xf numFmtId="164" fontId="55" fillId="0" borderId="42" xfId="906" applyNumberFormat="1" applyFont="1" applyBorder="1" applyAlignment="1">
      <alignment horizontal="right"/>
    </xf>
    <xf numFmtId="164" fontId="2" fillId="0" borderId="42" xfId="1" applyNumberFormat="1" applyFont="1" applyBorder="1" applyAlignment="1">
      <alignment horizontal="right"/>
    </xf>
    <xf numFmtId="164" fontId="6" fillId="52" borderId="42" xfId="1" applyNumberFormat="1" applyFont="1" applyFill="1" applyBorder="1" applyAlignment="1">
      <alignment horizontal="right" vertical="center"/>
    </xf>
    <xf numFmtId="8" fontId="7" fillId="0" borderId="42" xfId="1" applyNumberFormat="1" applyFont="1" applyBorder="1" applyAlignment="1">
      <alignment horizontal="center" vertical="center" wrapText="1"/>
    </xf>
    <xf numFmtId="8" fontId="7" fillId="0" borderId="42" xfId="906" applyNumberFormat="1" applyFont="1" applyBorder="1" applyAlignment="1">
      <alignment horizontal="right"/>
    </xf>
    <xf numFmtId="8" fontId="6" fillId="0" borderId="42" xfId="906" applyNumberFormat="1" applyFont="1" applyBorder="1" applyAlignment="1">
      <alignment horizontal="right"/>
    </xf>
    <xf numFmtId="40" fontId="2" fillId="2" borderId="42" xfId="1" applyNumberFormat="1" applyFont="1" applyFill="1" applyBorder="1" applyAlignment="1">
      <alignment horizontal="right" vertical="center" wrapText="1"/>
    </xf>
    <xf numFmtId="8" fontId="2" fillId="52" borderId="42" xfId="1" applyNumberFormat="1" applyFont="1" applyFill="1" applyBorder="1" applyAlignment="1">
      <alignment horizontal="right" vertical="center" wrapText="1"/>
    </xf>
    <xf numFmtId="8" fontId="5" fillId="35" borderId="42" xfId="1" applyNumberFormat="1" applyFont="1" applyFill="1" applyBorder="1" applyAlignment="1">
      <alignment horizontal="right" vertical="center"/>
    </xf>
    <xf numFmtId="8" fontId="2" fillId="52" borderId="42" xfId="1" applyNumberFormat="1" applyFont="1" applyFill="1" applyBorder="1" applyAlignment="1">
      <alignment horizontal="right" vertical="center"/>
    </xf>
    <xf numFmtId="165" fontId="59" fillId="50" borderId="42" xfId="906" applyFont="1" applyFill="1" applyBorder="1"/>
    <xf numFmtId="165" fontId="59" fillId="50" borderId="42" xfId="906" applyFont="1" applyFill="1" applyBorder="1" applyAlignment="1">
      <alignment horizontal="right"/>
    </xf>
    <xf numFmtId="164" fontId="59" fillId="50" borderId="42" xfId="906" applyNumberFormat="1" applyFont="1" applyFill="1" applyBorder="1" applyAlignment="1">
      <alignment horizontal="right"/>
    </xf>
    <xf numFmtId="165" fontId="55" fillId="50" borderId="3" xfId="906" applyFont="1" applyFill="1" applyBorder="1"/>
    <xf numFmtId="165" fontId="55" fillId="50" borderId="3" xfId="906" applyFont="1" applyFill="1" applyBorder="1" applyAlignment="1">
      <alignment horizontal="right"/>
    </xf>
    <xf numFmtId="8" fontId="5" fillId="0" borderId="6" xfId="1" applyNumberFormat="1" applyFont="1" applyBorder="1" applyAlignment="1">
      <alignment horizontal="left" vertical="center"/>
    </xf>
    <xf numFmtId="8" fontId="6" fillId="0" borderId="6" xfId="1" applyNumberFormat="1" applyFont="1" applyBorder="1" applyAlignment="1">
      <alignment horizontal="right" vertical="center" wrapText="1"/>
    </xf>
    <xf numFmtId="8" fontId="5" fillId="0" borderId="6" xfId="1" applyNumberFormat="1" applyFont="1" applyBorder="1" applyAlignment="1">
      <alignment horizontal="right" vertical="center"/>
    </xf>
    <xf numFmtId="8" fontId="2" fillId="0" borderId="6" xfId="0" applyNumberFormat="1" applyFont="1" applyBorder="1" applyAlignment="1">
      <alignment horizontal="right"/>
    </xf>
    <xf numFmtId="8" fontId="5" fillId="0" borderId="0" xfId="1" applyNumberFormat="1" applyFont="1" applyAlignment="1">
      <alignment horizontal="right" vertical="center"/>
    </xf>
    <xf numFmtId="165" fontId="6" fillId="3" borderId="42" xfId="906" applyFont="1" applyFill="1" applyBorder="1" applyAlignment="1">
      <alignment horizontal="center" vertical="center"/>
    </xf>
    <xf numFmtId="8" fontId="5" fillId="52" borderId="38" xfId="1" applyNumberFormat="1" applyFont="1" applyFill="1" applyBorder="1" applyAlignment="1">
      <alignment horizontal="center" vertical="center" wrapText="1"/>
    </xf>
    <xf numFmtId="8" fontId="5" fillId="52" borderId="43" xfId="1" applyNumberFormat="1" applyFont="1" applyFill="1" applyBorder="1" applyAlignment="1">
      <alignment horizontal="center" vertical="center" wrapText="1"/>
    </xf>
    <xf numFmtId="8" fontId="4" fillId="52" borderId="42" xfId="1" applyNumberFormat="1" applyFont="1" applyFill="1" applyBorder="1" applyAlignment="1">
      <alignment horizontal="center" vertical="center" wrapText="1"/>
    </xf>
    <xf numFmtId="8" fontId="2" fillId="0" borderId="42" xfId="1" applyNumberFormat="1" applyFont="1" applyBorder="1" applyAlignment="1">
      <alignment vertical="center" wrapText="1"/>
    </xf>
    <xf numFmtId="0" fontId="0" fillId="50" borderId="43" xfId="0" applyFill="1" applyBorder="1" applyAlignment="1">
      <alignment horizontal="right"/>
    </xf>
    <xf numFmtId="8" fontId="5" fillId="0" borderId="43" xfId="1" applyNumberFormat="1" applyFont="1" applyBorder="1" applyAlignment="1">
      <alignment horizontal="right" vertical="center"/>
    </xf>
    <xf numFmtId="0" fontId="0" fillId="0" borderId="43" xfId="0" applyBorder="1" applyAlignment="1">
      <alignment horizontal="right"/>
    </xf>
    <xf numFmtId="8" fontId="7" fillId="46" borderId="42" xfId="906" applyNumberFormat="1" applyFont="1" applyFill="1" applyBorder="1"/>
    <xf numFmtId="8" fontId="5" fillId="0" borderId="0" xfId="0" applyNumberFormat="1" applyFont="1" applyAlignment="1">
      <alignment horizontal="right"/>
    </xf>
    <xf numFmtId="40" fontId="4" fillId="2" borderId="42" xfId="1" applyNumberFormat="1" applyFont="1" applyFill="1" applyBorder="1" applyAlignment="1">
      <alignment horizontal="center" vertical="center" wrapText="1"/>
    </xf>
    <xf numFmtId="8" fontId="2" fillId="0" borderId="42" xfId="1193" applyNumberFormat="1" applyFont="1" applyBorder="1"/>
    <xf numFmtId="8" fontId="2" fillId="0" borderId="42" xfId="1" applyNumberFormat="1" applyFont="1" applyBorder="1" applyAlignment="1">
      <alignment vertical="center"/>
    </xf>
    <xf numFmtId="165" fontId="55" fillId="50" borderId="38" xfId="906" applyFont="1" applyFill="1" applyBorder="1" applyAlignment="1">
      <alignment horizontal="right"/>
    </xf>
    <xf numFmtId="8" fontId="2" fillId="0" borderId="0" xfId="1" applyNumberFormat="1" applyFont="1" applyAlignment="1">
      <alignment horizontal="right" vertical="center" wrapText="1"/>
    </xf>
    <xf numFmtId="165" fontId="55" fillId="0" borderId="0" xfId="906" applyFont="1" applyAlignment="1">
      <alignment horizontal="right"/>
    </xf>
    <xf numFmtId="8" fontId="6" fillId="52" borderId="38" xfId="1" applyNumberFormat="1" applyFont="1" applyFill="1" applyBorder="1" applyAlignment="1">
      <alignment horizontal="right" vertical="center"/>
    </xf>
    <xf numFmtId="8" fontId="2" fillId="3" borderId="3" xfId="1" applyNumberFormat="1" applyFont="1" applyFill="1" applyBorder="1" applyAlignment="1">
      <alignment horizontal="right" vertical="center" wrapText="1"/>
    </xf>
    <xf numFmtId="8" fontId="2" fillId="5" borderId="3" xfId="1" applyNumberFormat="1" applyFont="1" applyFill="1" applyBorder="1" applyAlignment="1">
      <alignment horizontal="right" vertical="center" wrapText="1"/>
    </xf>
    <xf numFmtId="8" fontId="2" fillId="45" borderId="3" xfId="1" applyNumberFormat="1" applyFont="1" applyFill="1" applyBorder="1" applyAlignment="1">
      <alignment horizontal="right" vertical="center" wrapText="1"/>
    </xf>
    <xf numFmtId="8" fontId="2" fillId="2" borderId="3" xfId="1" applyNumberFormat="1" applyFont="1" applyFill="1" applyBorder="1" applyAlignment="1">
      <alignment horizontal="right" vertical="center" wrapText="1"/>
    </xf>
    <xf numFmtId="8" fontId="5" fillId="0" borderId="38" xfId="1" applyNumberFormat="1" applyFont="1" applyBorder="1" applyAlignment="1">
      <alignment horizontal="right" vertical="center"/>
    </xf>
    <xf numFmtId="164" fontId="5" fillId="0" borderId="0" xfId="1" applyNumberFormat="1" applyFont="1" applyAlignment="1">
      <alignment horizontal="right" vertical="center"/>
    </xf>
    <xf numFmtId="8" fontId="2" fillId="0" borderId="3" xfId="1" applyNumberFormat="1" applyFont="1" applyBorder="1" applyAlignment="1">
      <alignment horizontal="right" vertical="center" wrapText="1"/>
    </xf>
    <xf numFmtId="8" fontId="3" fillId="0" borderId="42" xfId="1" applyNumberFormat="1" applyFont="1" applyBorder="1" applyAlignment="1">
      <alignment horizontal="center" vertical="center" wrapText="1"/>
    </xf>
    <xf numFmtId="8" fontId="3" fillId="0" borderId="42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2" fillId="46" borderId="0" xfId="0" applyFont="1" applyFill="1"/>
    <xf numFmtId="8" fontId="6" fillId="0" borderId="0" xfId="1" applyNumberFormat="1" applyFont="1" applyAlignment="1">
      <alignment horizontal="right" vertical="center"/>
    </xf>
    <xf numFmtId="8" fontId="6" fillId="0" borderId="42" xfId="1" applyNumberFormat="1" applyFont="1" applyBorder="1" applyAlignment="1">
      <alignment vertical="center"/>
    </xf>
    <xf numFmtId="8" fontId="5" fillId="52" borderId="42" xfId="1" applyNumberFormat="1" applyFont="1" applyFill="1" applyBorder="1" applyAlignment="1">
      <alignment vertical="top" wrapText="1"/>
    </xf>
    <xf numFmtId="8" fontId="5" fillId="0" borderId="42" xfId="1" applyNumberFormat="1" applyFont="1" applyBorder="1" applyAlignment="1">
      <alignment vertical="top" wrapText="1"/>
    </xf>
    <xf numFmtId="8" fontId="5" fillId="0" borderId="3" xfId="1" applyNumberFormat="1" applyFont="1" applyBorder="1" applyAlignment="1">
      <alignment horizontal="left" vertical="center"/>
    </xf>
    <xf numFmtId="8" fontId="7" fillId="0" borderId="3" xfId="906" applyNumberFormat="1" applyFont="1" applyBorder="1" applyAlignment="1">
      <alignment horizontal="right"/>
    </xf>
    <xf numFmtId="8" fontId="2" fillId="4" borderId="3" xfId="1" applyNumberFormat="1" applyFont="1" applyFill="1" applyBorder="1" applyAlignment="1">
      <alignment horizontal="right" vertical="center"/>
    </xf>
    <xf numFmtId="8" fontId="5" fillId="52" borderId="3" xfId="1" applyNumberFormat="1" applyFont="1" applyFill="1" applyBorder="1" applyAlignment="1">
      <alignment vertical="top" wrapText="1"/>
    </xf>
    <xf numFmtId="8" fontId="2" fillId="3" borderId="3" xfId="1" applyNumberFormat="1" applyFont="1" applyFill="1" applyBorder="1" applyAlignment="1">
      <alignment horizontal="right" vertical="center"/>
    </xf>
    <xf numFmtId="8" fontId="2" fillId="43" borderId="3" xfId="0" applyNumberFormat="1" applyFont="1" applyFill="1" applyBorder="1" applyAlignment="1">
      <alignment horizontal="right"/>
    </xf>
    <xf numFmtId="8" fontId="6" fillId="49" borderId="3" xfId="1" applyNumberFormat="1" applyFont="1" applyFill="1" applyBorder="1" applyAlignment="1">
      <alignment horizontal="right" vertical="center"/>
    </xf>
    <xf numFmtId="8" fontId="2" fillId="0" borderId="26" xfId="1" applyNumberFormat="1" applyFont="1" applyBorder="1" applyAlignment="1">
      <alignment horizontal="right"/>
    </xf>
    <xf numFmtId="8" fontId="4" fillId="0" borderId="34" xfId="1" applyNumberFormat="1" applyFont="1" applyBorder="1" applyAlignment="1">
      <alignment horizontal="right"/>
    </xf>
    <xf numFmtId="8" fontId="2" fillId="46" borderId="42" xfId="1" applyNumberFormat="1" applyFont="1" applyFill="1" applyBorder="1" applyAlignment="1">
      <alignment horizontal="right"/>
    </xf>
    <xf numFmtId="8" fontId="4" fillId="49" borderId="42" xfId="1" applyNumberFormat="1" applyFont="1" applyFill="1" applyBorder="1" applyAlignment="1">
      <alignment horizontal="center" vertical="center"/>
    </xf>
    <xf numFmtId="8" fontId="7" fillId="4" borderId="38" xfId="1" applyNumberFormat="1" applyFont="1" applyFill="1" applyBorder="1" applyAlignment="1">
      <alignment horizontal="center" vertical="center"/>
    </xf>
    <xf numFmtId="40" fontId="7" fillId="4" borderId="38" xfId="1" applyNumberFormat="1" applyFont="1" applyFill="1" applyBorder="1" applyAlignment="1">
      <alignment horizontal="center"/>
    </xf>
    <xf numFmtId="40" fontId="7" fillId="6" borderId="38" xfId="1" applyNumberFormat="1" applyFont="1" applyFill="1" applyBorder="1" applyAlignment="1">
      <alignment horizontal="center"/>
    </xf>
    <xf numFmtId="40" fontId="7" fillId="2" borderId="38" xfId="1" applyNumberFormat="1" applyFont="1" applyFill="1" applyBorder="1" applyAlignment="1">
      <alignment horizontal="center"/>
    </xf>
    <xf numFmtId="40" fontId="7" fillId="9" borderId="38" xfId="1" applyNumberFormat="1" applyFont="1" applyFill="1" applyBorder="1" applyAlignment="1">
      <alignment horizontal="center"/>
    </xf>
    <xf numFmtId="8" fontId="7" fillId="41" borderId="38" xfId="1" applyNumberFormat="1" applyFont="1" applyFill="1" applyBorder="1" applyAlignment="1">
      <alignment horizontal="center"/>
    </xf>
    <xf numFmtId="8" fontId="4" fillId="49" borderId="38" xfId="1" applyNumberFormat="1" applyFont="1" applyFill="1" applyBorder="1" applyAlignment="1">
      <alignment horizontal="center" vertical="center"/>
    </xf>
    <xf numFmtId="40" fontId="7" fillId="42" borderId="38" xfId="1" applyNumberFormat="1" applyFont="1" applyFill="1" applyBorder="1" applyAlignment="1">
      <alignment horizontal="center"/>
    </xf>
    <xf numFmtId="40" fontId="7" fillId="0" borderId="38" xfId="1" applyNumberFormat="1" applyFont="1" applyBorder="1" applyAlignment="1">
      <alignment horizontal="center"/>
    </xf>
    <xf numFmtId="40" fontId="7" fillId="37" borderId="38" xfId="1" applyNumberFormat="1" applyFont="1" applyFill="1" applyBorder="1" applyAlignment="1">
      <alignment horizontal="center"/>
    </xf>
    <xf numFmtId="40" fontId="7" fillId="39" borderId="38" xfId="1" applyNumberFormat="1" applyFont="1" applyFill="1" applyBorder="1" applyAlignment="1">
      <alignment horizontal="center"/>
    </xf>
    <xf numFmtId="8" fontId="7" fillId="37" borderId="42" xfId="1" applyNumberFormat="1" applyFont="1" applyFill="1" applyBorder="1" applyAlignment="1">
      <alignment horizontal="center" vertical="center"/>
    </xf>
    <xf numFmtId="8" fontId="7" fillId="39" borderId="42" xfId="1" applyNumberFormat="1" applyFont="1" applyFill="1" applyBorder="1" applyAlignment="1">
      <alignment horizontal="center" vertical="center"/>
    </xf>
    <xf numFmtId="40" fontId="7" fillId="37" borderId="42" xfId="1" applyNumberFormat="1" applyFont="1" applyFill="1" applyBorder="1" applyAlignment="1">
      <alignment horizontal="center"/>
    </xf>
    <xf numFmtId="40" fontId="7" fillId="39" borderId="42" xfId="1" applyNumberFormat="1" applyFont="1" applyFill="1" applyBorder="1" applyAlignment="1">
      <alignment horizontal="center"/>
    </xf>
    <xf numFmtId="165" fontId="55" fillId="46" borderId="42" xfId="906" applyFont="1" applyFill="1" applyBorder="1" applyAlignment="1">
      <alignment horizontal="right"/>
    </xf>
    <xf numFmtId="0" fontId="62" fillId="0" borderId="0" xfId="0" applyFont="1" applyAlignment="1">
      <alignment horizontal="right"/>
    </xf>
    <xf numFmtId="6" fontId="7" fillId="41" borderId="42" xfId="1" applyNumberFormat="1" applyFont="1" applyFill="1" applyBorder="1" applyAlignment="1">
      <alignment horizontal="center" vertical="center"/>
    </xf>
    <xf numFmtId="8" fontId="2" fillId="0" borderId="0" xfId="0" applyNumberFormat="1" applyFont="1" applyAlignment="1">
      <alignment horizontal="center"/>
    </xf>
    <xf numFmtId="8" fontId="2" fillId="0" borderId="0" xfId="0" applyNumberFormat="1" applyFont="1" applyAlignment="1">
      <alignment horizontal="center" vertical="top"/>
    </xf>
    <xf numFmtId="8" fontId="2" fillId="46" borderId="0" xfId="0" applyNumberFormat="1" applyFont="1" applyFill="1"/>
    <xf numFmtId="164" fontId="2" fillId="3" borderId="42" xfId="906" applyNumberFormat="1" applyFont="1" applyFill="1" applyBorder="1" applyAlignment="1">
      <alignment horizontal="right"/>
    </xf>
    <xf numFmtId="0" fontId="2" fillId="0" borderId="42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right"/>
    </xf>
    <xf numFmtId="8" fontId="5" fillId="0" borderId="43" xfId="1" applyNumberFormat="1" applyFont="1" applyBorder="1" applyAlignment="1">
      <alignment vertical="top" wrapText="1"/>
    </xf>
    <xf numFmtId="164" fontId="6" fillId="40" borderId="42" xfId="1" applyNumberFormat="1" applyFont="1" applyFill="1" applyBorder="1"/>
    <xf numFmtId="164" fontId="50" fillId="40" borderId="42" xfId="1" applyNumberFormat="1" applyFont="1" applyFill="1" applyBorder="1"/>
    <xf numFmtId="164" fontId="0" fillId="50" borderId="42" xfId="0" applyNumberFormat="1" applyFill="1" applyBorder="1"/>
    <xf numFmtId="164" fontId="2" fillId="40" borderId="42" xfId="1" applyNumberFormat="1" applyFont="1" applyFill="1" applyBorder="1"/>
    <xf numFmtId="8" fontId="6" fillId="4" borderId="42" xfId="1" applyNumberFormat="1" applyFont="1" applyFill="1" applyBorder="1" applyAlignment="1">
      <alignment horizontal="right" vertical="center"/>
    </xf>
    <xf numFmtId="44" fontId="5" fillId="0" borderId="42" xfId="1" applyFont="1" applyBorder="1" applyAlignment="1">
      <alignment horizontal="right" vertical="center"/>
    </xf>
    <xf numFmtId="44" fontId="4" fillId="0" borderId="0" xfId="1" applyFont="1" applyAlignment="1">
      <alignment horizontal="right"/>
    </xf>
    <xf numFmtId="44" fontId="4" fillId="0" borderId="0" xfId="1" applyFont="1" applyAlignment="1">
      <alignment wrapText="1"/>
    </xf>
    <xf numFmtId="44" fontId="2" fillId="0" borderId="0" xfId="1" applyFont="1" applyAlignment="1">
      <alignment vertical="top"/>
    </xf>
    <xf numFmtId="44" fontId="2" fillId="0" borderId="42" xfId="1" applyFont="1" applyBorder="1"/>
    <xf numFmtId="165" fontId="60" fillId="50" borderId="42" xfId="906" applyFont="1" applyFill="1" applyBorder="1"/>
    <xf numFmtId="0" fontId="60" fillId="50" borderId="42" xfId="0" applyFont="1" applyFill="1" applyBorder="1"/>
    <xf numFmtId="0" fontId="60" fillId="0" borderId="42" xfId="0" applyFont="1" applyBorder="1"/>
    <xf numFmtId="164" fontId="7" fillId="2" borderId="42" xfId="1" applyNumberFormat="1" applyFont="1" applyFill="1" applyBorder="1" applyAlignment="1">
      <alignment horizontal="center" vertical="center"/>
    </xf>
    <xf numFmtId="8" fontId="5" fillId="0" borderId="42" xfId="1" applyNumberFormat="1" applyFont="1" applyBorder="1" applyAlignment="1">
      <alignment horizontal="center" vertical="center"/>
    </xf>
    <xf numFmtId="8" fontId="5" fillId="3" borderId="42" xfId="1" applyNumberFormat="1" applyFont="1" applyFill="1" applyBorder="1" applyAlignment="1">
      <alignment horizontal="center" vertical="center"/>
    </xf>
    <xf numFmtId="8" fontId="5" fillId="0" borderId="42" xfId="1" applyNumberFormat="1" applyFont="1" applyFill="1" applyBorder="1" applyAlignment="1">
      <alignment vertical="top" wrapText="1"/>
    </xf>
    <xf numFmtId="8" fontId="2" fillId="0" borderId="42" xfId="1" applyNumberFormat="1" applyFont="1" applyFill="1" applyBorder="1" applyAlignment="1">
      <alignment horizontal="right"/>
    </xf>
    <xf numFmtId="8" fontId="5" fillId="0" borderId="42" xfId="1" applyNumberFormat="1" applyFont="1" applyFill="1" applyBorder="1" applyAlignment="1">
      <alignment horizontal="right" vertical="center"/>
    </xf>
    <xf numFmtId="8" fontId="5" fillId="0" borderId="42" xfId="1" applyNumberFormat="1" applyFont="1" applyFill="1" applyBorder="1" applyAlignment="1">
      <alignment vertical="center"/>
    </xf>
    <xf numFmtId="164" fontId="7" fillId="0" borderId="42" xfId="1" applyNumberFormat="1" applyFont="1" applyBorder="1" applyAlignment="1">
      <alignment horizontal="center" vertical="center"/>
    </xf>
    <xf numFmtId="8" fontId="2" fillId="0" borderId="42" xfId="1" applyNumberFormat="1" applyFont="1" applyFill="1" applyBorder="1" applyAlignment="1">
      <alignment horizontal="right" vertical="center" wrapText="1"/>
    </xf>
    <xf numFmtId="164" fontId="4" fillId="0" borderId="0" xfId="0" applyNumberFormat="1" applyFont="1"/>
    <xf numFmtId="0" fontId="8" fillId="0" borderId="0" xfId="0" applyFont="1"/>
    <xf numFmtId="8" fontId="8" fillId="0" borderId="0" xfId="1" applyNumberFormat="1" applyFont="1" applyAlignment="1">
      <alignment horizontal="center"/>
    </xf>
    <xf numFmtId="8" fontId="8" fillId="0" borderId="0" xfId="1" applyNumberFormat="1" applyFont="1" applyAlignment="1">
      <alignment horizontal="left"/>
    </xf>
    <xf numFmtId="0" fontId="63" fillId="0" borderId="0" xfId="0" applyFont="1"/>
    <xf numFmtId="0" fontId="12" fillId="0" borderId="0" xfId="0" applyFont="1"/>
    <xf numFmtId="8" fontId="12" fillId="0" borderId="0" xfId="1" applyNumberFormat="1" applyFont="1" applyAlignment="1">
      <alignment horizontal="left"/>
    </xf>
    <xf numFmtId="0" fontId="64" fillId="0" borderId="0" xfId="0" applyFont="1"/>
    <xf numFmtId="8" fontId="64" fillId="0" borderId="0" xfId="1" applyNumberFormat="1" applyFont="1" applyAlignment="1">
      <alignment horizontal="left"/>
    </xf>
    <xf numFmtId="8" fontId="4" fillId="0" borderId="0" xfId="0" applyNumberFormat="1" applyFont="1" applyAlignment="1">
      <alignment horizontal="left" vertical="center"/>
    </xf>
    <xf numFmtId="8" fontId="6" fillId="0" borderId="0" xfId="1" applyNumberFormat="1" applyFont="1" applyAlignment="1">
      <alignment horizontal="center" wrapText="1"/>
    </xf>
    <xf numFmtId="8" fontId="6" fillId="0" borderId="0" xfId="1" applyNumberFormat="1" applyFont="1" applyAlignment="1">
      <alignment horizontal="left" wrapText="1"/>
    </xf>
    <xf numFmtId="8" fontId="6" fillId="0" borderId="0" xfId="1" applyNumberFormat="1" applyFont="1" applyAlignment="1">
      <alignment horizontal="center"/>
    </xf>
    <xf numFmtId="8" fontId="6" fillId="0" borderId="0" xfId="1" applyNumberFormat="1" applyFont="1" applyAlignment="1">
      <alignment horizontal="left"/>
    </xf>
    <xf numFmtId="8" fontId="61" fillId="0" borderId="0" xfId="1" applyNumberFormat="1" applyFont="1" applyAlignment="1">
      <alignment horizontal="center"/>
    </xf>
    <xf numFmtId="8" fontId="7" fillId="0" borderId="0" xfId="1" applyNumberFormat="1" applyFont="1" applyAlignment="1">
      <alignment horizontal="right"/>
    </xf>
    <xf numFmtId="8" fontId="5" fillId="0" borderId="42" xfId="1" applyNumberFormat="1" applyFont="1" applyBorder="1" applyAlignment="1">
      <alignment horizontal="center" vertical="center"/>
    </xf>
    <xf numFmtId="40" fontId="4" fillId="2" borderId="42" xfId="1" applyNumberFormat="1" applyFont="1" applyFill="1" applyBorder="1" applyAlignment="1">
      <alignment horizontal="center" vertical="center" wrapText="1"/>
    </xf>
    <xf numFmtId="44" fontId="2" fillId="4" borderId="42" xfId="0" applyNumberFormat="1" applyFont="1" applyFill="1" applyBorder="1"/>
    <xf numFmtId="8" fontId="2" fillId="4" borderId="42" xfId="0" applyNumberFormat="1" applyFont="1" applyFill="1" applyBorder="1"/>
    <xf numFmtId="8" fontId="2" fillId="2" borderId="0" xfId="1" applyNumberFormat="1" applyFont="1" applyFill="1" applyBorder="1" applyAlignment="1">
      <alignment horizontal="right" vertical="center"/>
    </xf>
    <xf numFmtId="44" fontId="6" fillId="0" borderId="42" xfId="1" applyNumberFormat="1" applyFont="1" applyBorder="1" applyAlignment="1">
      <alignment horizontal="right" vertical="center"/>
    </xf>
    <xf numFmtId="8" fontId="6" fillId="41" borderId="42" xfId="1" applyNumberFormat="1" applyFont="1" applyFill="1" applyBorder="1" applyAlignment="1">
      <alignment horizontal="right" vertical="center"/>
    </xf>
    <xf numFmtId="165" fontId="0" fillId="0" borderId="42" xfId="906" applyFont="1" applyBorder="1"/>
    <xf numFmtId="44" fontId="6" fillId="52" borderId="42" xfId="1" applyNumberFormat="1" applyFont="1" applyFill="1" applyBorder="1" applyAlignment="1">
      <alignment horizontal="right" vertical="center"/>
    </xf>
    <xf numFmtId="44" fontId="6" fillId="0" borderId="42" xfId="1" applyNumberFormat="1" applyFont="1" applyBorder="1" applyAlignment="1">
      <alignment horizontal="center" vertical="center" wrapText="1"/>
    </xf>
    <xf numFmtId="44" fontId="6" fillId="0" borderId="42" xfId="1" applyNumberFormat="1" applyFont="1" applyBorder="1" applyAlignment="1">
      <alignment horizontal="right" vertical="center" wrapText="1"/>
    </xf>
    <xf numFmtId="44" fontId="55" fillId="50" borderId="42" xfId="906" applyNumberFormat="1" applyFont="1" applyFill="1" applyBorder="1" applyAlignment="1">
      <alignment horizontal="right"/>
    </xf>
    <xf numFmtId="44" fontId="55" fillId="0" borderId="42" xfId="906" applyNumberFormat="1" applyFont="1" applyBorder="1" applyAlignment="1">
      <alignment horizontal="right"/>
    </xf>
    <xf numFmtId="44" fontId="55" fillId="50" borderId="3" xfId="906" applyNumberFormat="1" applyFont="1" applyFill="1" applyBorder="1" applyAlignment="1">
      <alignment horizontal="right"/>
    </xf>
    <xf numFmtId="44" fontId="5" fillId="0" borderId="42" xfId="1" applyNumberFormat="1" applyFont="1" applyBorder="1" applyAlignment="1">
      <alignment horizontal="right" vertical="center"/>
    </xf>
    <xf numFmtId="44" fontId="6" fillId="0" borderId="6" xfId="1" applyNumberFormat="1" applyFont="1" applyBorder="1" applyAlignment="1">
      <alignment horizontal="right" vertical="center" wrapText="1"/>
    </xf>
    <xf numFmtId="44" fontId="2" fillId="0" borderId="0" xfId="1" applyNumberFormat="1" applyFont="1" applyAlignment="1">
      <alignment horizontal="right"/>
    </xf>
    <xf numFmtId="44" fontId="5" fillId="0" borderId="42" xfId="1" applyNumberFormat="1" applyFont="1" applyBorder="1" applyAlignment="1">
      <alignment horizontal="center" vertical="center" wrapText="1"/>
    </xf>
    <xf numFmtId="44" fontId="5" fillId="0" borderId="0" xfId="1" applyNumberFormat="1" applyFont="1" applyAlignment="1">
      <alignment horizontal="right" vertical="center"/>
    </xf>
    <xf numFmtId="44" fontId="62" fillId="0" borderId="0" xfId="0" applyNumberFormat="1" applyFont="1" applyAlignment="1">
      <alignment horizontal="right"/>
    </xf>
    <xf numFmtId="44" fontId="2" fillId="0" borderId="0" xfId="1" applyNumberFormat="1" applyFont="1"/>
    <xf numFmtId="44" fontId="6" fillId="0" borderId="0" xfId="0" applyNumberFormat="1" applyFont="1" applyAlignment="1">
      <alignment horizontal="right"/>
    </xf>
    <xf numFmtId="44" fontId="59" fillId="50" borderId="42" xfId="906" applyNumberFormat="1" applyFont="1" applyFill="1" applyBorder="1"/>
    <xf numFmtId="44" fontId="59" fillId="50" borderId="42" xfId="906" applyNumberFormat="1" applyFont="1" applyFill="1" applyBorder="1" applyAlignment="1">
      <alignment horizontal="right"/>
    </xf>
    <xf numFmtId="44" fontId="50" fillId="0" borderId="42" xfId="1" applyNumberFormat="1" applyFont="1" applyBorder="1" applyAlignment="1">
      <alignment horizontal="right" vertical="center"/>
    </xf>
    <xf numFmtId="44" fontId="6" fillId="0" borderId="0" xfId="1" applyNumberFormat="1" applyFont="1" applyAlignment="1">
      <alignment horizontal="right"/>
    </xf>
    <xf numFmtId="44" fontId="50" fillId="0" borderId="0" xfId="1" applyNumberFormat="1" applyFont="1" applyAlignment="1">
      <alignment horizontal="right"/>
    </xf>
    <xf numFmtId="44" fontId="50" fillId="0" borderId="0" xfId="1" applyNumberFormat="1" applyFont="1"/>
    <xf numFmtId="44" fontId="2" fillId="5" borderId="42" xfId="1" applyNumberFormat="1" applyFont="1" applyFill="1" applyBorder="1" applyAlignment="1">
      <alignment horizontal="right" vertical="center" wrapText="1"/>
    </xf>
    <xf numFmtId="8" fontId="5" fillId="0" borderId="42" xfId="1" applyNumberFormat="1" applyFont="1" applyBorder="1" applyAlignment="1">
      <alignment horizontal="center" vertical="center"/>
    </xf>
    <xf numFmtId="8" fontId="5" fillId="4" borderId="42" xfId="1" applyNumberFormat="1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8" fontId="2" fillId="4" borderId="42" xfId="1" applyNumberFormat="1" applyFont="1" applyFill="1" applyBorder="1" applyAlignment="1">
      <alignment horizontal="center" vertical="center"/>
    </xf>
    <xf numFmtId="8" fontId="5" fillId="4" borderId="42" xfId="1" applyNumberFormat="1" applyFont="1" applyFill="1" applyBorder="1" applyAlignment="1">
      <alignment horizontal="center" vertical="center"/>
    </xf>
    <xf numFmtId="44" fontId="6" fillId="40" borderId="42" xfId="1" applyNumberFormat="1" applyFont="1" applyFill="1" applyBorder="1"/>
    <xf numFmtId="8" fontId="5" fillId="0" borderId="3" xfId="1" applyNumberFormat="1" applyFont="1" applyFill="1" applyBorder="1" applyAlignment="1">
      <alignment horizontal="right" vertical="center"/>
    </xf>
    <xf numFmtId="8" fontId="5" fillId="0" borderId="42" xfId="1" applyNumberFormat="1" applyFont="1" applyFill="1" applyBorder="1" applyAlignment="1">
      <alignment horizontal="center" vertical="center"/>
    </xf>
    <xf numFmtId="40" fontId="2" fillId="0" borderId="42" xfId="1" applyNumberFormat="1" applyFont="1" applyFill="1" applyBorder="1" applyAlignment="1">
      <alignment horizontal="right" vertical="center" wrapText="1"/>
    </xf>
    <xf numFmtId="0" fontId="52" fillId="0" borderId="42" xfId="0" applyFont="1" applyBorder="1"/>
    <xf numFmtId="8" fontId="6" fillId="0" borderId="42" xfId="1" applyNumberFormat="1" applyFont="1" applyFill="1" applyBorder="1" applyAlignment="1">
      <alignment horizontal="right" vertical="center"/>
    </xf>
    <xf numFmtId="165" fontId="2" fillId="5" borderId="42" xfId="1" applyNumberFormat="1" applyFont="1" applyFill="1" applyBorder="1" applyAlignment="1">
      <alignment horizontal="right" vertical="center" wrapText="1"/>
    </xf>
    <xf numFmtId="8" fontId="7" fillId="0" borderId="0" xfId="0" applyNumberFormat="1" applyFont="1" applyAlignment="1">
      <alignment horizontal="right"/>
    </xf>
    <xf numFmtId="8" fontId="4" fillId="0" borderId="12" xfId="1" applyNumberFormat="1" applyFont="1" applyBorder="1" applyAlignment="1">
      <alignment horizontal="right" vertical="center"/>
    </xf>
    <xf numFmtId="8" fontId="8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8" fontId="2" fillId="0" borderId="3" xfId="1" applyNumberFormat="1" applyFont="1" applyFill="1" applyBorder="1" applyAlignment="1">
      <alignment horizontal="right" vertical="center" wrapText="1"/>
    </xf>
    <xf numFmtId="8" fontId="5" fillId="0" borderId="42" xfId="1" applyNumberFormat="1" applyFont="1" applyBorder="1" applyAlignment="1">
      <alignment horizontal="center" vertical="center"/>
    </xf>
    <xf numFmtId="8" fontId="6" fillId="49" borderId="42" xfId="1" applyNumberFormat="1" applyFont="1" applyFill="1" applyBorder="1" applyAlignment="1">
      <alignment horizontal="center" vertical="center"/>
    </xf>
    <xf numFmtId="8" fontId="2" fillId="43" borderId="42" xfId="0" applyNumberFormat="1" applyFont="1" applyFill="1" applyBorder="1" applyAlignment="1">
      <alignment horizontal="center" vertical="center"/>
    </xf>
    <xf numFmtId="8" fontId="5" fillId="3" borderId="42" xfId="1" applyNumberFormat="1" applyFont="1" applyFill="1" applyBorder="1" applyAlignment="1">
      <alignment horizontal="center" vertical="center"/>
    </xf>
    <xf numFmtId="8" fontId="7" fillId="0" borderId="11" xfId="1" applyNumberFormat="1" applyFont="1" applyBorder="1" applyAlignment="1">
      <alignment horizontal="center" vertical="center"/>
    </xf>
    <xf numFmtId="8" fontId="5" fillId="0" borderId="0" xfId="1" applyNumberFormat="1" applyFont="1" applyBorder="1" applyAlignment="1">
      <alignment horizontal="right" vertical="center"/>
    </xf>
    <xf numFmtId="8" fontId="2" fillId="2" borderId="42" xfId="1" applyNumberFormat="1" applyFont="1" applyFill="1" applyBorder="1" applyAlignment="1">
      <alignment horizontal="center" vertical="center" wrapText="1"/>
    </xf>
    <xf numFmtId="8" fontId="5" fillId="52" borderId="43" xfId="1" applyNumberFormat="1" applyFont="1" applyFill="1" applyBorder="1" applyAlignment="1">
      <alignment vertical="center" wrapText="1"/>
    </xf>
    <xf numFmtId="0" fontId="2" fillId="4" borderId="42" xfId="0" applyFont="1" applyFill="1" applyBorder="1" applyAlignment="1">
      <alignment horizontal="center" vertical="center"/>
    </xf>
    <xf numFmtId="8" fontId="3" fillId="0" borderId="42" xfId="1" applyNumberFormat="1" applyFont="1" applyBorder="1" applyAlignment="1">
      <alignment horizontal="center" vertical="center" wrapText="1"/>
    </xf>
    <xf numFmtId="8" fontId="62" fillId="0" borderId="0" xfId="0" applyNumberFormat="1" applyFont="1" applyAlignment="1">
      <alignment horizontal="right"/>
    </xf>
    <xf numFmtId="8" fontId="2" fillId="0" borderId="42" xfId="1" applyNumberFormat="1" applyFont="1" applyFill="1" applyBorder="1" applyAlignment="1">
      <alignment horizontal="right" vertical="center"/>
    </xf>
    <xf numFmtId="8" fontId="7" fillId="0" borderId="42" xfId="1" applyNumberFormat="1" applyFont="1" applyFill="1" applyBorder="1" applyAlignment="1">
      <alignment horizontal="right" vertical="center"/>
    </xf>
    <xf numFmtId="8" fontId="2" fillId="43" borderId="42" xfId="0" applyNumberFormat="1" applyFont="1" applyFill="1" applyBorder="1" applyAlignment="1">
      <alignment horizontal="center" vertical="center"/>
    </xf>
    <xf numFmtId="8" fontId="2" fillId="43" borderId="42" xfId="0" applyNumberFormat="1" applyFont="1" applyFill="1" applyBorder="1" applyAlignment="1">
      <alignment vertical="center"/>
    </xf>
    <xf numFmtId="8" fontId="2" fillId="4" borderId="42" xfId="0" applyNumberFormat="1" applyFont="1" applyFill="1" applyBorder="1" applyAlignment="1">
      <alignment vertical="center"/>
    </xf>
    <xf numFmtId="164" fontId="2" fillId="4" borderId="0" xfId="0" applyNumberFormat="1" applyFont="1" applyFill="1" applyAlignment="1">
      <alignment horizontal="center" vertical="center"/>
    </xf>
    <xf numFmtId="8" fontId="2" fillId="43" borderId="42" xfId="0" applyNumberFormat="1" applyFont="1" applyFill="1" applyBorder="1" applyAlignment="1">
      <alignment horizontal="center" vertical="center"/>
    </xf>
    <xf numFmtId="167" fontId="2" fillId="0" borderId="0" xfId="0" applyNumberFormat="1" applyFont="1" applyAlignment="1">
      <alignment vertical="center"/>
    </xf>
    <xf numFmtId="8" fontId="5" fillId="46" borderId="0" xfId="1" applyNumberFormat="1" applyFont="1" applyFill="1" applyBorder="1" applyAlignment="1">
      <alignment horizontal="right" vertical="center"/>
    </xf>
    <xf numFmtId="8" fontId="5" fillId="0" borderId="42" xfId="1" applyNumberFormat="1" applyFont="1" applyBorder="1" applyAlignment="1">
      <alignment horizontal="center" vertical="center"/>
    </xf>
    <xf numFmtId="8" fontId="5" fillId="52" borderId="42" xfId="1" applyNumberFormat="1" applyFont="1" applyFill="1" applyBorder="1" applyAlignment="1">
      <alignment horizontal="center" vertical="center"/>
    </xf>
    <xf numFmtId="8" fontId="5" fillId="4" borderId="42" xfId="1" applyNumberFormat="1" applyFont="1" applyFill="1" applyBorder="1" applyAlignment="1">
      <alignment horizontal="center" vertical="center"/>
    </xf>
    <xf numFmtId="8" fontId="5" fillId="3" borderId="42" xfId="1" applyNumberFormat="1" applyFont="1" applyFill="1" applyBorder="1" applyAlignment="1">
      <alignment horizontal="center" vertical="center"/>
    </xf>
    <xf numFmtId="40" fontId="4" fillId="2" borderId="42" xfId="1" applyNumberFormat="1" applyFont="1" applyFill="1" applyBorder="1" applyAlignment="1">
      <alignment horizontal="center" vertical="center" wrapText="1"/>
    </xf>
    <xf numFmtId="8" fontId="6" fillId="41" borderId="42" xfId="1" applyNumberFormat="1" applyFont="1" applyFill="1" applyBorder="1" applyAlignment="1">
      <alignment horizontal="center" vertical="center"/>
    </xf>
    <xf numFmtId="8" fontId="2" fillId="41" borderId="42" xfId="0" applyNumberFormat="1" applyFont="1" applyFill="1" applyBorder="1" applyAlignment="1">
      <alignment horizontal="center"/>
    </xf>
    <xf numFmtId="8" fontId="5" fillId="0" borderId="42" xfId="1" applyNumberFormat="1" applyFont="1" applyBorder="1" applyAlignment="1">
      <alignment horizontal="center" vertical="center"/>
    </xf>
    <xf numFmtId="8" fontId="7" fillId="0" borderId="42" xfId="1" applyNumberFormat="1" applyFont="1" applyBorder="1" applyAlignment="1">
      <alignment horizontal="center" vertical="center" wrapText="1"/>
    </xf>
    <xf numFmtId="8" fontId="2" fillId="43" borderId="42" xfId="0" applyNumberFormat="1" applyFont="1" applyFill="1" applyBorder="1" applyAlignment="1">
      <alignment horizontal="center" vertical="center"/>
    </xf>
    <xf numFmtId="8" fontId="5" fillId="3" borderId="42" xfId="1" applyNumberFormat="1" applyFont="1" applyFill="1" applyBorder="1" applyAlignment="1">
      <alignment horizontal="center" vertical="center"/>
    </xf>
    <xf numFmtId="8" fontId="7" fillId="0" borderId="38" xfId="1" applyNumberFormat="1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8" fontId="7" fillId="0" borderId="38" xfId="1" applyNumberFormat="1" applyFont="1" applyBorder="1" applyAlignment="1">
      <alignment horizontal="center" vertical="center"/>
    </xf>
    <xf numFmtId="165" fontId="55" fillId="0" borderId="42" xfId="906" applyFont="1" applyFill="1" applyBorder="1"/>
    <xf numFmtId="8" fontId="2" fillId="0" borderId="7" xfId="0" applyNumberFormat="1" applyFont="1" applyBorder="1" applyAlignment="1">
      <alignment horizontal="right" vertical="center"/>
    </xf>
    <xf numFmtId="8" fontId="5" fillId="0" borderId="0" xfId="1" applyNumberFormat="1" applyFont="1" applyFill="1" applyBorder="1" applyAlignment="1">
      <alignment vertical="top" wrapText="1"/>
    </xf>
    <xf numFmtId="8" fontId="5" fillId="0" borderId="0" xfId="1" applyNumberFormat="1" applyFont="1" applyFill="1" applyBorder="1" applyAlignment="1">
      <alignment horizontal="right" vertical="center"/>
    </xf>
    <xf numFmtId="8" fontId="60" fillId="0" borderId="0" xfId="0" applyNumberFormat="1" applyFont="1" applyFill="1" applyBorder="1" applyAlignment="1">
      <alignment horizontal="right"/>
    </xf>
    <xf numFmtId="0" fontId="4" fillId="0" borderId="0" xfId="0" applyFont="1" applyFill="1" applyBorder="1"/>
    <xf numFmtId="8" fontId="2" fillId="0" borderId="0" xfId="1" applyNumberFormat="1" applyFont="1" applyFill="1" applyBorder="1"/>
    <xf numFmtId="8" fontId="2" fillId="0" borderId="0" xfId="1" applyNumberFormat="1" applyFont="1" applyFill="1" applyBorder="1" applyAlignment="1">
      <alignment horizontal="right"/>
    </xf>
    <xf numFmtId="8" fontId="6" fillId="0" borderId="42" xfId="1" applyNumberFormat="1" applyFont="1" applyFill="1" applyBorder="1" applyAlignment="1">
      <alignment horizontal="center" vertical="center" wrapText="1"/>
    </xf>
    <xf numFmtId="0" fontId="0" fillId="0" borderId="42" xfId="0" applyFill="1" applyBorder="1" applyAlignment="1">
      <alignment horizontal="right"/>
    </xf>
    <xf numFmtId="8" fontId="5" fillId="0" borderId="42" xfId="1" applyNumberFormat="1" applyFont="1" applyFill="1" applyBorder="1" applyAlignment="1">
      <alignment horizontal="right" vertical="center" wrapText="1"/>
    </xf>
    <xf numFmtId="8" fontId="2" fillId="0" borderId="42" xfId="0" applyNumberFormat="1" applyFont="1" applyFill="1" applyBorder="1" applyAlignment="1">
      <alignment horizontal="right"/>
    </xf>
    <xf numFmtId="8" fontId="2" fillId="0" borderId="0" xfId="1" applyNumberFormat="1" applyFont="1" applyFill="1"/>
    <xf numFmtId="8" fontId="7" fillId="0" borderId="42" xfId="906" applyNumberFormat="1" applyFont="1" applyFill="1" applyBorder="1" applyAlignment="1">
      <alignment horizontal="right"/>
    </xf>
    <xf numFmtId="8" fontId="2" fillId="0" borderId="26" xfId="1" applyNumberFormat="1" applyFont="1" applyFill="1" applyBorder="1" applyAlignment="1">
      <alignment horizontal="right"/>
    </xf>
    <xf numFmtId="8" fontId="5" fillId="0" borderId="43" xfId="1" applyNumberFormat="1" applyFont="1" applyFill="1" applyBorder="1" applyAlignment="1">
      <alignment vertical="top" wrapText="1"/>
    </xf>
    <xf numFmtId="8" fontId="59" fillId="50" borderId="3" xfId="906" applyNumberFormat="1" applyFont="1" applyFill="1" applyBorder="1"/>
    <xf numFmtId="8" fontId="60" fillId="50" borderId="3" xfId="0" applyNumberFormat="1" applyFont="1" applyFill="1" applyBorder="1" applyAlignment="1">
      <alignment horizontal="right"/>
    </xf>
    <xf numFmtId="8" fontId="4" fillId="0" borderId="0" xfId="1" applyNumberFormat="1" applyFont="1" applyBorder="1" applyAlignment="1">
      <alignment horizontal="right"/>
    </xf>
    <xf numFmtId="8" fontId="4" fillId="0" borderId="42" xfId="1" applyNumberFormat="1" applyFont="1" applyBorder="1" applyAlignment="1">
      <alignment horizontal="right"/>
    </xf>
    <xf numFmtId="8" fontId="6" fillId="49" borderId="38" xfId="1" applyNumberFormat="1" applyFont="1" applyFill="1" applyBorder="1" applyAlignment="1">
      <alignment horizontal="right" vertical="center"/>
    </xf>
    <xf numFmtId="8" fontId="60" fillId="50" borderId="38" xfId="0" applyNumberFormat="1" applyFont="1" applyFill="1" applyBorder="1" applyAlignment="1">
      <alignment horizontal="right"/>
    </xf>
    <xf numFmtId="8" fontId="6" fillId="49" borderId="45" xfId="1" applyNumberFormat="1" applyFont="1" applyFill="1" applyBorder="1" applyAlignment="1">
      <alignment horizontal="right" vertical="center"/>
    </xf>
    <xf numFmtId="8" fontId="2" fillId="0" borderId="38" xfId="1" applyNumberFormat="1" applyFont="1" applyBorder="1" applyAlignment="1">
      <alignment horizontal="right"/>
    </xf>
    <xf numFmtId="8" fontId="2" fillId="0" borderId="27" xfId="1" applyNumberFormat="1" applyFont="1" applyBorder="1" applyAlignment="1">
      <alignment horizontal="right"/>
    </xf>
    <xf numFmtId="8" fontId="6" fillId="0" borderId="0" xfId="1" applyNumberFormat="1" applyFont="1" applyFill="1" applyBorder="1" applyAlignment="1">
      <alignment horizontal="right" vertical="center"/>
    </xf>
    <xf numFmtId="0" fontId="7" fillId="0" borderId="41" xfId="0" applyFont="1" applyBorder="1" applyAlignment="1">
      <alignment horizontal="center" vertical="center" wrapText="1"/>
    </xf>
    <xf numFmtId="8" fontId="7" fillId="6" borderId="38" xfId="1" applyNumberFormat="1" applyFont="1" applyFill="1" applyBorder="1" applyAlignment="1">
      <alignment horizontal="center" vertical="center"/>
    </xf>
    <xf numFmtId="8" fontId="7" fillId="44" borderId="38" xfId="1" applyNumberFormat="1" applyFont="1" applyFill="1" applyBorder="1" applyAlignment="1">
      <alignment horizontal="center" vertical="center"/>
    </xf>
    <xf numFmtId="44" fontId="7" fillId="2" borderId="38" xfId="1" applyNumberFormat="1" applyFont="1" applyFill="1" applyBorder="1" applyAlignment="1">
      <alignment horizontal="center" vertical="center"/>
    </xf>
    <xf numFmtId="0" fontId="4" fillId="47" borderId="38" xfId="0" applyFont="1" applyFill="1" applyBorder="1" applyAlignment="1">
      <alignment horizontal="center" wrapText="1"/>
    </xf>
    <xf numFmtId="8" fontId="4" fillId="52" borderId="38" xfId="1" applyNumberFormat="1" applyFont="1" applyFill="1" applyBorder="1" applyAlignment="1">
      <alignment horizontal="center" vertical="center" wrapText="1"/>
    </xf>
    <xf numFmtId="8" fontId="7" fillId="3" borderId="38" xfId="1" applyNumberFormat="1" applyFont="1" applyFill="1" applyBorder="1" applyAlignment="1">
      <alignment horizontal="center" vertical="center"/>
    </xf>
    <xf numFmtId="8" fontId="7" fillId="41" borderId="38" xfId="1" applyNumberFormat="1" applyFont="1" applyFill="1" applyBorder="1" applyAlignment="1">
      <alignment horizontal="center" vertical="center"/>
    </xf>
    <xf numFmtId="8" fontId="7" fillId="49" borderId="38" xfId="1" applyNumberFormat="1" applyFont="1" applyFill="1" applyBorder="1" applyAlignment="1">
      <alignment horizontal="center" vertical="center"/>
    </xf>
    <xf numFmtId="8" fontId="7" fillId="42" borderId="38" xfId="1" applyNumberFormat="1" applyFont="1" applyFill="1" applyBorder="1" applyAlignment="1">
      <alignment horizontal="center" vertical="center"/>
    </xf>
    <xf numFmtId="8" fontId="7" fillId="8" borderId="38" xfId="1" applyNumberFormat="1" applyFont="1" applyFill="1" applyBorder="1" applyAlignment="1">
      <alignment horizontal="center" vertical="center"/>
    </xf>
    <xf numFmtId="8" fontId="7" fillId="36" borderId="38" xfId="1" applyNumberFormat="1" applyFont="1" applyFill="1" applyBorder="1" applyAlignment="1">
      <alignment horizontal="center" vertical="center"/>
    </xf>
    <xf numFmtId="8" fontId="7" fillId="7" borderId="38" xfId="1" applyNumberFormat="1" applyFont="1" applyFill="1" applyBorder="1" applyAlignment="1">
      <alignment horizontal="center" vertical="center"/>
    </xf>
    <xf numFmtId="8" fontId="7" fillId="37" borderId="38" xfId="1" applyNumberFormat="1" applyFont="1" applyFill="1" applyBorder="1" applyAlignment="1">
      <alignment horizontal="center" vertical="center"/>
    </xf>
    <xf numFmtId="8" fontId="7" fillId="39" borderId="38" xfId="1" applyNumberFormat="1" applyFont="1" applyFill="1" applyBorder="1" applyAlignment="1">
      <alignment horizontal="center" vertical="center"/>
    </xf>
    <xf numFmtId="40" fontId="7" fillId="44" borderId="38" xfId="1" applyNumberFormat="1" applyFont="1" applyFill="1" applyBorder="1" applyAlignment="1">
      <alignment horizontal="center" vertical="center"/>
    </xf>
    <xf numFmtId="40" fontId="7" fillId="8" borderId="38" xfId="1" applyNumberFormat="1" applyFont="1" applyFill="1" applyBorder="1" applyAlignment="1">
      <alignment horizontal="center"/>
    </xf>
    <xf numFmtId="40" fontId="7" fillId="36" borderId="38" xfId="1" applyNumberFormat="1" applyFont="1" applyFill="1" applyBorder="1" applyAlignment="1">
      <alignment horizontal="center"/>
    </xf>
    <xf numFmtId="40" fontId="7" fillId="7" borderId="38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64" fontId="2" fillId="4" borderId="42" xfId="0" applyNumberFormat="1" applyFont="1" applyFill="1" applyBorder="1" applyAlignment="1">
      <alignment horizontal="center" vertical="center"/>
    </xf>
    <xf numFmtId="8" fontId="2" fillId="4" borderId="42" xfId="0" applyNumberFormat="1" applyFont="1" applyFill="1" applyBorder="1" applyAlignment="1">
      <alignment horizontal="center" vertical="center"/>
    </xf>
    <xf numFmtId="8" fontId="5" fillId="0" borderId="42" xfId="1" applyNumberFormat="1" applyFont="1" applyBorder="1" applyAlignment="1">
      <alignment horizontal="center" vertical="center"/>
    </xf>
    <xf numFmtId="165" fontId="55" fillId="0" borderId="42" xfId="906" applyFont="1" applyFill="1" applyBorder="1" applyAlignment="1">
      <alignment horizontal="right"/>
    </xf>
    <xf numFmtId="8" fontId="5" fillId="0" borderId="42" xfId="1" applyNumberFormat="1" applyFont="1" applyBorder="1" applyAlignment="1">
      <alignment horizontal="center" vertical="center"/>
    </xf>
    <xf numFmtId="8" fontId="2" fillId="43" borderId="42" xfId="0" applyNumberFormat="1" applyFont="1" applyFill="1" applyBorder="1" applyAlignment="1">
      <alignment horizontal="center" vertical="center"/>
    </xf>
    <xf numFmtId="8" fontId="5" fillId="3" borderId="42" xfId="1" applyNumberFormat="1" applyFont="1" applyFill="1" applyBorder="1" applyAlignment="1">
      <alignment horizontal="center" vertical="center"/>
    </xf>
    <xf numFmtId="0" fontId="2" fillId="0" borderId="42" xfId="0" applyFont="1" applyBorder="1" applyAlignment="1">
      <alignment horizontal="center" vertical="center" wrapText="1"/>
    </xf>
    <xf numFmtId="165" fontId="65" fillId="0" borderId="42" xfId="906" applyFont="1" applyBorder="1"/>
    <xf numFmtId="0" fontId="2" fillId="0" borderId="42" xfId="0" applyFont="1" applyBorder="1" applyAlignment="1">
      <alignment horizontal="center" vertical="center" wrapText="1"/>
    </xf>
    <xf numFmtId="8" fontId="7" fillId="49" borderId="42" xfId="1" applyNumberFormat="1" applyFont="1" applyFill="1" applyBorder="1" applyAlignment="1">
      <alignment horizontal="center" vertical="center" wrapText="1"/>
    </xf>
    <xf numFmtId="8" fontId="2" fillId="0" borderId="38" xfId="0" applyNumberFormat="1" applyFont="1" applyBorder="1" applyAlignment="1">
      <alignment horizontal="center" vertical="center"/>
    </xf>
    <xf numFmtId="8" fontId="7" fillId="0" borderId="42" xfId="1" applyNumberFormat="1" applyFont="1" applyBorder="1" applyAlignment="1">
      <alignment horizontal="center" vertical="center"/>
    </xf>
    <xf numFmtId="8" fontId="3" fillId="4" borderId="42" xfId="1" applyNumberFormat="1" applyFont="1" applyFill="1" applyBorder="1" applyAlignment="1">
      <alignment horizontal="center" vertical="center" wrapText="1"/>
    </xf>
    <xf numFmtId="8" fontId="2" fillId="0" borderId="42" xfId="0" applyNumberFormat="1" applyFont="1" applyBorder="1" applyAlignment="1">
      <alignment horizontal="center" vertical="center" wrapText="1"/>
    </xf>
    <xf numFmtId="8" fontId="4" fillId="2" borderId="42" xfId="1" applyNumberFormat="1" applyFont="1" applyFill="1" applyBorder="1" applyAlignment="1">
      <alignment horizontal="center" vertical="center" wrapText="1"/>
    </xf>
    <xf numFmtId="8" fontId="4" fillId="0" borderId="42" xfId="0" applyNumberFormat="1" applyFont="1" applyBorder="1" applyAlignment="1">
      <alignment horizontal="center" vertical="center" wrapText="1"/>
    </xf>
    <xf numFmtId="8" fontId="5" fillId="52" borderId="42" xfId="1" applyNumberFormat="1" applyFont="1" applyFill="1" applyBorder="1" applyAlignment="1">
      <alignment horizontal="center" vertical="center"/>
    </xf>
    <xf numFmtId="8" fontId="2" fillId="52" borderId="42" xfId="0" applyNumberFormat="1" applyFont="1" applyFill="1" applyBorder="1" applyAlignment="1">
      <alignment horizontal="center" vertical="center"/>
    </xf>
    <xf numFmtId="8" fontId="3" fillId="52" borderId="42" xfId="1" applyNumberFormat="1" applyFont="1" applyFill="1" applyBorder="1" applyAlignment="1">
      <alignment horizontal="center" vertical="center" wrapText="1"/>
    </xf>
    <xf numFmtId="8" fontId="7" fillId="0" borderId="42" xfId="1" applyNumberFormat="1" applyFont="1" applyBorder="1" applyAlignment="1">
      <alignment horizontal="center" vertical="center" wrapText="1"/>
    </xf>
    <xf numFmtId="8" fontId="4" fillId="3" borderId="42" xfId="1" applyNumberFormat="1" applyFont="1" applyFill="1" applyBorder="1" applyAlignment="1">
      <alignment horizontal="center" vertical="center" wrapText="1"/>
    </xf>
    <xf numFmtId="8" fontId="4" fillId="3" borderId="42" xfId="0" applyNumberFormat="1" applyFont="1" applyFill="1" applyBorder="1" applyAlignment="1">
      <alignment horizontal="center" vertical="center" wrapText="1"/>
    </xf>
    <xf numFmtId="8" fontId="4" fillId="43" borderId="42" xfId="0" applyNumberFormat="1" applyFont="1" applyFill="1" applyBorder="1" applyAlignment="1">
      <alignment horizontal="center" vertical="center" wrapText="1"/>
    </xf>
    <xf numFmtId="8" fontId="6" fillId="49" borderId="42" xfId="1" applyNumberFormat="1" applyFont="1" applyFill="1" applyBorder="1" applyAlignment="1">
      <alignment horizontal="center" vertical="center"/>
    </xf>
    <xf numFmtId="8" fontId="2" fillId="0" borderId="42" xfId="0" applyNumberFormat="1" applyFont="1" applyBorder="1" applyAlignment="1">
      <alignment horizontal="center"/>
    </xf>
    <xf numFmtId="8" fontId="5" fillId="2" borderId="42" xfId="1" applyNumberFormat="1" applyFont="1" applyFill="1" applyBorder="1" applyAlignment="1">
      <alignment horizontal="center" vertical="center"/>
    </xf>
    <xf numFmtId="8" fontId="2" fillId="0" borderId="42" xfId="0" applyNumberFormat="1" applyFont="1" applyBorder="1" applyAlignment="1">
      <alignment horizontal="center" vertical="center"/>
    </xf>
    <xf numFmtId="8" fontId="5" fillId="3" borderId="42" xfId="1" applyNumberFormat="1" applyFont="1" applyFill="1" applyBorder="1" applyAlignment="1">
      <alignment horizontal="center" vertical="center"/>
    </xf>
    <xf numFmtId="8" fontId="2" fillId="43" borderId="42" xfId="0" applyNumberFormat="1" applyFont="1" applyFill="1" applyBorder="1" applyAlignment="1">
      <alignment horizontal="center" vertical="center"/>
    </xf>
    <xf numFmtId="8" fontId="5" fillId="0" borderId="42" xfId="1" applyNumberFormat="1" applyFont="1" applyBorder="1" applyAlignment="1">
      <alignment horizontal="center" vertical="center"/>
    </xf>
    <xf numFmtId="8" fontId="5" fillId="4" borderId="42" xfId="1" applyNumberFormat="1" applyFont="1" applyFill="1" applyBorder="1" applyAlignment="1">
      <alignment horizontal="center" vertical="center"/>
    </xf>
    <xf numFmtId="165" fontId="59" fillId="48" borderId="42" xfId="906" applyFont="1" applyFill="1" applyBorder="1"/>
    <xf numFmtId="0" fontId="2" fillId="48" borderId="42" xfId="0" applyFont="1" applyFill="1" applyBorder="1"/>
    <xf numFmtId="8" fontId="7" fillId="0" borderId="42" xfId="0" applyNumberFormat="1" applyFont="1" applyBorder="1" applyAlignment="1">
      <alignment horizontal="center" vertical="center" wrapText="1"/>
    </xf>
    <xf numFmtId="8" fontId="7" fillId="0" borderId="0" xfId="1" applyNumberFormat="1" applyFont="1" applyFill="1" applyBorder="1" applyAlignment="1">
      <alignment horizontal="center" vertical="center" wrapText="1"/>
    </xf>
    <xf numFmtId="8" fontId="2" fillId="0" borderId="0" xfId="0" applyNumberFormat="1" applyFont="1" applyFill="1" applyBorder="1" applyAlignment="1">
      <alignment horizontal="center" vertical="center"/>
    </xf>
    <xf numFmtId="8" fontId="6" fillId="0" borderId="0" xfId="1" applyNumberFormat="1" applyFont="1" applyFill="1" applyBorder="1" applyAlignment="1">
      <alignment horizontal="center" vertical="center"/>
    </xf>
    <xf numFmtId="8" fontId="2" fillId="0" borderId="0" xfId="0" applyNumberFormat="1" applyFont="1" applyFill="1" applyBorder="1" applyAlignment="1">
      <alignment horizontal="center"/>
    </xf>
    <xf numFmtId="8" fontId="4" fillId="0" borderId="38" xfId="0" applyNumberFormat="1" applyFont="1" applyBorder="1" applyAlignment="1">
      <alignment horizontal="center" vertical="center" wrapText="1"/>
    </xf>
    <xf numFmtId="8" fontId="4" fillId="0" borderId="43" xfId="0" applyNumberFormat="1" applyFont="1" applyBorder="1" applyAlignment="1">
      <alignment horizontal="center" vertical="center" wrapText="1"/>
    </xf>
    <xf numFmtId="8" fontId="6" fillId="49" borderId="38" xfId="1" applyNumberFormat="1" applyFont="1" applyFill="1" applyBorder="1" applyAlignment="1">
      <alignment horizontal="center" vertical="center"/>
    </xf>
    <xf numFmtId="8" fontId="2" fillId="0" borderId="38" xfId="0" applyNumberFormat="1" applyFont="1" applyBorder="1" applyAlignment="1">
      <alignment horizontal="center"/>
    </xf>
    <xf numFmtId="8" fontId="3" fillId="0" borderId="42" xfId="1" applyNumberFormat="1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4" fillId="0" borderId="42" xfId="0" applyFont="1" applyBorder="1" applyAlignment="1">
      <alignment horizontal="center" vertical="center" wrapText="1"/>
    </xf>
    <xf numFmtId="8" fontId="3" fillId="52" borderId="38" xfId="1" applyNumberFormat="1" applyFont="1" applyFill="1" applyBorder="1" applyAlignment="1">
      <alignment horizontal="center" vertical="top" wrapText="1"/>
    </xf>
    <xf numFmtId="8" fontId="3" fillId="52" borderId="43" xfId="1" applyNumberFormat="1" applyFont="1" applyFill="1" applyBorder="1" applyAlignment="1">
      <alignment horizontal="center" vertical="top" wrapText="1"/>
    </xf>
    <xf numFmtId="40" fontId="4" fillId="3" borderId="42" xfId="1" applyNumberFormat="1" applyFont="1" applyFill="1" applyBorder="1" applyAlignment="1">
      <alignment horizontal="center" vertical="center" wrapText="1"/>
    </xf>
    <xf numFmtId="40" fontId="4" fillId="2" borderId="42" xfId="1" applyNumberFormat="1" applyFont="1" applyFill="1" applyBorder="1" applyAlignment="1">
      <alignment horizontal="center" vertical="center" wrapText="1"/>
    </xf>
    <xf numFmtId="0" fontId="2" fillId="0" borderId="42" xfId="0" applyFont="1" applyBorder="1" applyAlignment="1">
      <alignment wrapText="1"/>
    </xf>
    <xf numFmtId="40" fontId="4" fillId="2" borderId="38" xfId="1" applyNumberFormat="1" applyFont="1" applyFill="1" applyBorder="1" applyAlignment="1">
      <alignment horizontal="center" vertical="center" wrapText="1"/>
    </xf>
    <xf numFmtId="40" fontId="4" fillId="2" borderId="43" xfId="1" applyNumberFormat="1" applyFont="1" applyFill="1" applyBorder="1" applyAlignment="1">
      <alignment horizontal="center" vertical="center" wrapText="1"/>
    </xf>
    <xf numFmtId="8" fontId="3" fillId="0" borderId="38" xfId="1" applyNumberFormat="1" applyFont="1" applyBorder="1" applyAlignment="1">
      <alignment horizontal="center" vertical="center" wrapText="1"/>
    </xf>
    <xf numFmtId="8" fontId="3" fillId="0" borderId="11" xfId="1" applyNumberFormat="1" applyFont="1" applyBorder="1" applyAlignment="1">
      <alignment horizontal="center" vertical="center" wrapText="1"/>
    </xf>
    <xf numFmtId="8" fontId="7" fillId="0" borderId="38" xfId="1" applyNumberFormat="1" applyFont="1" applyBorder="1" applyAlignment="1">
      <alignment horizontal="center" vertical="center" wrapText="1"/>
    </xf>
    <xf numFmtId="8" fontId="7" fillId="0" borderId="43" xfId="1" applyNumberFormat="1" applyFont="1" applyBorder="1" applyAlignment="1">
      <alignment horizontal="center" vertical="center" wrapText="1"/>
    </xf>
    <xf numFmtId="40" fontId="4" fillId="3" borderId="38" xfId="1" applyNumberFormat="1" applyFont="1" applyFill="1" applyBorder="1" applyAlignment="1">
      <alignment horizontal="center" vertical="center" wrapText="1"/>
    </xf>
    <xf numFmtId="40" fontId="4" fillId="3" borderId="43" xfId="1" applyNumberFormat="1" applyFont="1" applyFill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8" fontId="5" fillId="52" borderId="38" xfId="1" applyNumberFormat="1" applyFont="1" applyFill="1" applyBorder="1" applyAlignment="1">
      <alignment horizontal="center" vertical="top" wrapText="1"/>
    </xf>
    <xf numFmtId="8" fontId="5" fillId="52" borderId="43" xfId="1" applyNumberFormat="1" applyFont="1" applyFill="1" applyBorder="1" applyAlignment="1">
      <alignment horizontal="center" vertical="top" wrapText="1"/>
    </xf>
    <xf numFmtId="8" fontId="3" fillId="0" borderId="43" xfId="1" applyNumberFormat="1" applyFont="1" applyBorder="1" applyAlignment="1">
      <alignment horizontal="center" vertical="center" wrapText="1"/>
    </xf>
    <xf numFmtId="164" fontId="4" fillId="3" borderId="42" xfId="0" applyNumberFormat="1" applyFont="1" applyFill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8" fontId="7" fillId="49" borderId="38" xfId="1" applyNumberFormat="1" applyFont="1" applyFill="1" applyBorder="1" applyAlignment="1">
      <alignment horizontal="center" vertical="center" wrapText="1"/>
    </xf>
    <xf numFmtId="8" fontId="7" fillId="49" borderId="43" xfId="1" applyNumberFormat="1" applyFont="1" applyFill="1" applyBorder="1" applyAlignment="1">
      <alignment horizontal="center" vertical="center" wrapText="1"/>
    </xf>
    <xf numFmtId="8" fontId="7" fillId="41" borderId="42" xfId="1" applyNumberFormat="1" applyFont="1" applyFill="1" applyBorder="1" applyAlignment="1">
      <alignment horizontal="center" vertical="center" wrapText="1"/>
    </xf>
    <xf numFmtId="8" fontId="2" fillId="41" borderId="42" xfId="0" applyNumberFormat="1" applyFont="1" applyFill="1" applyBorder="1" applyAlignment="1">
      <alignment horizontal="center" vertical="center"/>
    </xf>
    <xf numFmtId="8" fontId="4" fillId="0" borderId="38" xfId="0" applyNumberFormat="1" applyFont="1" applyBorder="1" applyAlignment="1">
      <alignment horizontal="center" vertical="center"/>
    </xf>
    <xf numFmtId="8" fontId="4" fillId="0" borderId="11" xfId="0" applyNumberFormat="1" applyFont="1" applyBorder="1" applyAlignment="1">
      <alignment horizontal="center" vertical="center"/>
    </xf>
    <xf numFmtId="8" fontId="4" fillId="0" borderId="43" xfId="0" applyNumberFormat="1" applyFont="1" applyBorder="1" applyAlignment="1">
      <alignment horizontal="center" vertical="center"/>
    </xf>
    <xf numFmtId="8" fontId="0" fillId="0" borderId="42" xfId="0" applyNumberFormat="1" applyBorder="1" applyAlignment="1">
      <alignment horizontal="center" vertical="center" wrapText="1"/>
    </xf>
    <xf numFmtId="8" fontId="53" fillId="0" borderId="42" xfId="0" applyNumberFormat="1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8" fontId="3" fillId="0" borderId="42" xfId="0" applyNumberFormat="1" applyFont="1" applyBorder="1" applyAlignment="1">
      <alignment horizontal="center" vertical="center" wrapText="1"/>
    </xf>
    <xf numFmtId="8" fontId="3" fillId="3" borderId="38" xfId="1" applyNumberFormat="1" applyFont="1" applyFill="1" applyBorder="1" applyAlignment="1">
      <alignment horizontal="center" vertical="top" wrapText="1"/>
    </xf>
    <xf numFmtId="8" fontId="3" fillId="3" borderId="43" xfId="1" applyNumberFormat="1" applyFont="1" applyFill="1" applyBorder="1" applyAlignment="1">
      <alignment horizontal="center" vertical="top" wrapText="1"/>
    </xf>
    <xf numFmtId="8" fontId="3" fillId="0" borderId="43" xfId="1" applyNumberFormat="1" applyFont="1" applyBorder="1" applyAlignment="1">
      <alignment horizontal="center" vertical="center"/>
    </xf>
    <xf numFmtId="8" fontId="2" fillId="5" borderId="38" xfId="1" applyNumberFormat="1" applyFont="1" applyFill="1" applyBorder="1" applyAlignment="1">
      <alignment horizontal="center" vertical="center" wrapText="1"/>
    </xf>
    <xf numFmtId="8" fontId="2" fillId="5" borderId="43" xfId="1" applyNumberFormat="1" applyFont="1" applyFill="1" applyBorder="1" applyAlignment="1">
      <alignment horizontal="center" vertical="center" wrapText="1"/>
    </xf>
    <xf numFmtId="8" fontId="4" fillId="0" borderId="11" xfId="0" applyNumberFormat="1" applyFont="1" applyBorder="1" applyAlignment="1">
      <alignment horizontal="center" vertical="center" wrapText="1"/>
    </xf>
    <xf numFmtId="8" fontId="7" fillId="0" borderId="11" xfId="1" applyNumberFormat="1" applyFont="1" applyBorder="1" applyAlignment="1">
      <alignment horizontal="center" vertical="center" wrapText="1"/>
    </xf>
    <xf numFmtId="8" fontId="3" fillId="52" borderId="38" xfId="1" applyNumberFormat="1" applyFont="1" applyFill="1" applyBorder="1" applyAlignment="1">
      <alignment horizontal="center" vertical="center" wrapText="1"/>
    </xf>
    <xf numFmtId="8" fontId="3" fillId="52" borderId="43" xfId="1" applyNumberFormat="1" applyFont="1" applyFill="1" applyBorder="1" applyAlignment="1">
      <alignment horizontal="center" vertical="center" wrapText="1"/>
    </xf>
    <xf numFmtId="8" fontId="2" fillId="3" borderId="38" xfId="1" applyNumberFormat="1" applyFont="1" applyFill="1" applyBorder="1" applyAlignment="1">
      <alignment horizontal="center" vertical="center" wrapText="1"/>
    </xf>
    <xf numFmtId="8" fontId="2" fillId="3" borderId="43" xfId="1" applyNumberFormat="1" applyFont="1" applyFill="1" applyBorder="1" applyAlignment="1">
      <alignment horizontal="center" vertical="center" wrapText="1"/>
    </xf>
    <xf numFmtId="8" fontId="7" fillId="0" borderId="38" xfId="1" applyNumberFormat="1" applyFont="1" applyBorder="1" applyAlignment="1">
      <alignment horizontal="center" vertical="center"/>
    </xf>
    <xf numFmtId="8" fontId="7" fillId="0" borderId="43" xfId="1" applyNumberFormat="1" applyFont="1" applyBorder="1" applyAlignment="1">
      <alignment horizontal="center" vertical="center"/>
    </xf>
    <xf numFmtId="8" fontId="2" fillId="45" borderId="38" xfId="1" applyNumberFormat="1" applyFont="1" applyFill="1" applyBorder="1" applyAlignment="1">
      <alignment horizontal="center" vertical="center" wrapText="1"/>
    </xf>
    <xf numFmtId="8" fontId="2" fillId="45" borderId="43" xfId="1" applyNumberFormat="1" applyFont="1" applyFill="1" applyBorder="1" applyAlignment="1">
      <alignment horizontal="center" vertical="center" wrapText="1"/>
    </xf>
    <xf numFmtId="8" fontId="7" fillId="42" borderId="42" xfId="1" applyNumberFormat="1" applyFont="1" applyFill="1" applyBorder="1" applyAlignment="1">
      <alignment horizontal="center" vertical="center" wrapText="1"/>
    </xf>
    <xf numFmtId="164" fontId="6" fillId="0" borderId="38" xfId="0" applyNumberFormat="1" applyFont="1" applyBorder="1" applyAlignment="1">
      <alignment horizontal="center" vertical="center" wrapText="1"/>
    </xf>
    <xf numFmtId="164" fontId="6" fillId="0" borderId="43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164" fontId="4" fillId="0" borderId="44" xfId="0" applyNumberFormat="1" applyFont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2" fillId="8" borderId="44" xfId="0" applyFont="1" applyFill="1" applyBorder="1" applyAlignment="1">
      <alignment horizontal="center" vertical="center" wrapText="1"/>
    </xf>
    <xf numFmtId="0" fontId="2" fillId="40" borderId="7" xfId="0" applyFont="1" applyFill="1" applyBorder="1" applyAlignment="1">
      <alignment horizontal="center" vertical="center" wrapText="1"/>
    </xf>
    <xf numFmtId="0" fontId="2" fillId="40" borderId="0" xfId="0" applyFont="1" applyFill="1" applyAlignment="1">
      <alignment horizontal="center" vertical="center" wrapText="1"/>
    </xf>
    <xf numFmtId="164" fontId="7" fillId="0" borderId="4" xfId="0" applyNumberFormat="1" applyFont="1" applyBorder="1" applyAlignment="1">
      <alignment horizontal="center" vertical="center" wrapText="1"/>
    </xf>
    <xf numFmtId="164" fontId="7" fillId="0" borderId="44" xfId="0" applyNumberFormat="1" applyFont="1" applyBorder="1" applyAlignment="1">
      <alignment horizontal="center" vertical="center" wrapText="1"/>
    </xf>
    <xf numFmtId="44" fontId="7" fillId="0" borderId="2" xfId="1" applyFont="1" applyBorder="1" applyAlignment="1">
      <alignment horizontal="center" vertical="center" wrapText="1"/>
    </xf>
    <xf numFmtId="44" fontId="7" fillId="0" borderId="11" xfId="1" applyFont="1" applyBorder="1" applyAlignment="1">
      <alignment horizontal="center" vertical="center" wrapText="1"/>
    </xf>
    <xf numFmtId="165" fontId="6" fillId="3" borderId="42" xfId="906" applyFont="1" applyFill="1" applyBorder="1" applyAlignment="1">
      <alignment horizontal="center" vertical="center" wrapText="1"/>
    </xf>
    <xf numFmtId="8" fontId="2" fillId="5" borderId="42" xfId="1" applyNumberFormat="1" applyFont="1" applyFill="1" applyBorder="1" applyAlignment="1">
      <alignment horizontal="center" vertical="center" wrapText="1"/>
    </xf>
    <xf numFmtId="8" fontId="6" fillId="49" borderId="42" xfId="1" applyNumberFormat="1" applyFont="1" applyFill="1" applyBorder="1" applyAlignment="1">
      <alignment horizontal="center" vertical="center" wrapText="1"/>
    </xf>
    <xf numFmtId="8" fontId="2" fillId="43" borderId="42" xfId="0" applyNumberFormat="1" applyFont="1" applyFill="1" applyBorder="1" applyAlignment="1">
      <alignment vertical="center" wrapText="1"/>
    </xf>
    <xf numFmtId="8" fontId="2" fillId="4" borderId="42" xfId="0" applyNumberFormat="1" applyFont="1" applyFill="1" applyBorder="1" applyAlignment="1">
      <alignment vertical="center" wrapText="1"/>
    </xf>
    <xf numFmtId="165" fontId="6" fillId="0" borderId="42" xfId="1" applyNumberFormat="1" applyFont="1" applyBorder="1" applyAlignment="1">
      <alignment horizontal="right" vertical="center"/>
    </xf>
  </cellXfs>
  <cellStyles count="1194">
    <cellStyle name="20% - Accent1 10" xfId="135"/>
    <cellStyle name="20% - Accent1 11" xfId="136"/>
    <cellStyle name="20% - Accent1 12" xfId="137"/>
    <cellStyle name="20% - Accent1 13" xfId="138"/>
    <cellStyle name="20% - Accent1 14" xfId="139"/>
    <cellStyle name="20% - Accent1 15" xfId="140"/>
    <cellStyle name="20% - Accent1 16" xfId="141"/>
    <cellStyle name="20% - Accent1 17" xfId="66"/>
    <cellStyle name="20% - Accent1 2" xfId="142"/>
    <cellStyle name="20% - Accent1 3" xfId="143"/>
    <cellStyle name="20% - Accent1 4" xfId="144"/>
    <cellStyle name="20% - Accent1 5" xfId="145"/>
    <cellStyle name="20% - Accent1 6" xfId="146"/>
    <cellStyle name="20% - Accent1 7" xfId="147"/>
    <cellStyle name="20% - Accent1 8" xfId="148"/>
    <cellStyle name="20% - Accent1 9" xfId="149"/>
    <cellStyle name="20% - Accent2 10" xfId="150"/>
    <cellStyle name="20% - Accent2 11" xfId="151"/>
    <cellStyle name="20% - Accent2 12" xfId="152"/>
    <cellStyle name="20% - Accent2 13" xfId="153"/>
    <cellStyle name="20% - Accent2 14" xfId="154"/>
    <cellStyle name="20% - Accent2 15" xfId="155"/>
    <cellStyle name="20% - Accent2 16" xfId="156"/>
    <cellStyle name="20% - Accent2 17" xfId="67"/>
    <cellStyle name="20% - Accent2 2" xfId="157"/>
    <cellStyle name="20% - Accent2 3" xfId="158"/>
    <cellStyle name="20% - Accent2 4" xfId="159"/>
    <cellStyle name="20% - Accent2 5" xfId="160"/>
    <cellStyle name="20% - Accent2 6" xfId="161"/>
    <cellStyle name="20% - Accent2 7" xfId="162"/>
    <cellStyle name="20% - Accent2 8" xfId="163"/>
    <cellStyle name="20% - Accent2 9" xfId="164"/>
    <cellStyle name="20% - Accent3 10" xfId="165"/>
    <cellStyle name="20% - Accent3 11" xfId="166"/>
    <cellStyle name="20% - Accent3 12" xfId="167"/>
    <cellStyle name="20% - Accent3 13" xfId="168"/>
    <cellStyle name="20% - Accent3 14" xfId="169"/>
    <cellStyle name="20% - Accent3 15" xfId="170"/>
    <cellStyle name="20% - Accent3 16" xfId="171"/>
    <cellStyle name="20% - Accent3 17" xfId="68"/>
    <cellStyle name="20% - Accent3 2" xfId="172"/>
    <cellStyle name="20% - Accent3 3" xfId="173"/>
    <cellStyle name="20% - Accent3 4" xfId="174"/>
    <cellStyle name="20% - Accent3 5" xfId="175"/>
    <cellStyle name="20% - Accent3 6" xfId="176"/>
    <cellStyle name="20% - Accent3 7" xfId="177"/>
    <cellStyle name="20% - Accent3 8" xfId="178"/>
    <cellStyle name="20% - Accent3 9" xfId="179"/>
    <cellStyle name="20% - Accent4 10" xfId="180"/>
    <cellStyle name="20% - Accent4 11" xfId="181"/>
    <cellStyle name="20% - Accent4 12" xfId="182"/>
    <cellStyle name="20% - Accent4 13" xfId="183"/>
    <cellStyle name="20% - Accent4 14" xfId="184"/>
    <cellStyle name="20% - Accent4 15" xfId="185"/>
    <cellStyle name="20% - Accent4 16" xfId="186"/>
    <cellStyle name="20% - Accent4 17" xfId="69"/>
    <cellStyle name="20% - Accent4 2" xfId="187"/>
    <cellStyle name="20% - Accent4 3" xfId="188"/>
    <cellStyle name="20% - Accent4 4" xfId="189"/>
    <cellStyle name="20% - Accent4 5" xfId="190"/>
    <cellStyle name="20% - Accent4 6" xfId="191"/>
    <cellStyle name="20% - Accent4 7" xfId="192"/>
    <cellStyle name="20% - Accent4 8" xfId="193"/>
    <cellStyle name="20% - Accent4 9" xfId="194"/>
    <cellStyle name="20% - Accent5 10" xfId="195"/>
    <cellStyle name="20% - Accent5 11" xfId="196"/>
    <cellStyle name="20% - Accent5 12" xfId="197"/>
    <cellStyle name="20% - Accent5 13" xfId="198"/>
    <cellStyle name="20% - Accent5 14" xfId="199"/>
    <cellStyle name="20% - Accent5 15" xfId="200"/>
    <cellStyle name="20% - Accent5 16" xfId="201"/>
    <cellStyle name="20% - Accent5 17" xfId="70"/>
    <cellStyle name="20% - Accent5 2" xfId="202"/>
    <cellStyle name="20% - Accent5 3" xfId="203"/>
    <cellStyle name="20% - Accent5 4" xfId="204"/>
    <cellStyle name="20% - Accent5 5" xfId="205"/>
    <cellStyle name="20% - Accent5 6" xfId="206"/>
    <cellStyle name="20% - Accent5 7" xfId="207"/>
    <cellStyle name="20% - Accent5 8" xfId="208"/>
    <cellStyle name="20% - Accent5 9" xfId="209"/>
    <cellStyle name="20% - Accent6 10" xfId="210"/>
    <cellStyle name="20% - Accent6 11" xfId="211"/>
    <cellStyle name="20% - Accent6 12" xfId="212"/>
    <cellStyle name="20% - Accent6 13" xfId="213"/>
    <cellStyle name="20% - Accent6 14" xfId="214"/>
    <cellStyle name="20% - Accent6 15" xfId="215"/>
    <cellStyle name="20% - Accent6 16" xfId="216"/>
    <cellStyle name="20% - Accent6 17" xfId="71"/>
    <cellStyle name="20% - Accent6 2" xfId="217"/>
    <cellStyle name="20% - Accent6 3" xfId="218"/>
    <cellStyle name="20% - Accent6 4" xfId="219"/>
    <cellStyle name="20% - Accent6 5" xfId="220"/>
    <cellStyle name="20% - Accent6 6" xfId="221"/>
    <cellStyle name="20% - Accent6 7" xfId="222"/>
    <cellStyle name="20% - Accent6 8" xfId="223"/>
    <cellStyle name="20% - Accent6 9" xfId="224"/>
    <cellStyle name="40% - Accent1 10" xfId="225"/>
    <cellStyle name="40% - Accent1 11" xfId="226"/>
    <cellStyle name="40% - Accent1 12" xfId="227"/>
    <cellStyle name="40% - Accent1 13" xfId="228"/>
    <cellStyle name="40% - Accent1 14" xfId="229"/>
    <cellStyle name="40% - Accent1 15" xfId="230"/>
    <cellStyle name="40% - Accent1 16" xfId="231"/>
    <cellStyle name="40% - Accent1 17" xfId="72"/>
    <cellStyle name="40% - Accent1 2" xfId="232"/>
    <cellStyle name="40% - Accent1 3" xfId="233"/>
    <cellStyle name="40% - Accent1 4" xfId="234"/>
    <cellStyle name="40% - Accent1 5" xfId="235"/>
    <cellStyle name="40% - Accent1 6" xfId="236"/>
    <cellStyle name="40% - Accent1 7" xfId="237"/>
    <cellStyle name="40% - Accent1 8" xfId="238"/>
    <cellStyle name="40% - Accent1 9" xfId="239"/>
    <cellStyle name="40% - Accent2 10" xfId="240"/>
    <cellStyle name="40% - Accent2 11" xfId="241"/>
    <cellStyle name="40% - Accent2 12" xfId="242"/>
    <cellStyle name="40% - Accent2 13" xfId="243"/>
    <cellStyle name="40% - Accent2 14" xfId="244"/>
    <cellStyle name="40% - Accent2 15" xfId="245"/>
    <cellStyle name="40% - Accent2 16" xfId="246"/>
    <cellStyle name="40% - Accent2 17" xfId="73"/>
    <cellStyle name="40% - Accent2 2" xfId="247"/>
    <cellStyle name="40% - Accent2 3" xfId="248"/>
    <cellStyle name="40% - Accent2 4" xfId="249"/>
    <cellStyle name="40% - Accent2 5" xfId="250"/>
    <cellStyle name="40% - Accent2 6" xfId="251"/>
    <cellStyle name="40% - Accent2 7" xfId="252"/>
    <cellStyle name="40% - Accent2 8" xfId="253"/>
    <cellStyle name="40% - Accent2 9" xfId="254"/>
    <cellStyle name="40% - Accent3 10" xfId="255"/>
    <cellStyle name="40% - Accent3 11" xfId="256"/>
    <cellStyle name="40% - Accent3 12" xfId="257"/>
    <cellStyle name="40% - Accent3 13" xfId="258"/>
    <cellStyle name="40% - Accent3 14" xfId="259"/>
    <cellStyle name="40% - Accent3 15" xfId="260"/>
    <cellStyle name="40% - Accent3 16" xfId="261"/>
    <cellStyle name="40% - Accent3 17" xfId="74"/>
    <cellStyle name="40% - Accent3 2" xfId="262"/>
    <cellStyle name="40% - Accent3 3" xfId="263"/>
    <cellStyle name="40% - Accent3 4" xfId="264"/>
    <cellStyle name="40% - Accent3 5" xfId="265"/>
    <cellStyle name="40% - Accent3 6" xfId="266"/>
    <cellStyle name="40% - Accent3 7" xfId="267"/>
    <cellStyle name="40% - Accent3 8" xfId="268"/>
    <cellStyle name="40% - Accent3 9" xfId="269"/>
    <cellStyle name="40% - Accent4 10" xfId="270"/>
    <cellStyle name="40% - Accent4 11" xfId="271"/>
    <cellStyle name="40% - Accent4 12" xfId="272"/>
    <cellStyle name="40% - Accent4 13" xfId="273"/>
    <cellStyle name="40% - Accent4 14" xfId="274"/>
    <cellStyle name="40% - Accent4 15" xfId="275"/>
    <cellStyle name="40% - Accent4 16" xfId="276"/>
    <cellStyle name="40% - Accent4 17" xfId="75"/>
    <cellStyle name="40% - Accent4 2" xfId="277"/>
    <cellStyle name="40% - Accent4 3" xfId="278"/>
    <cellStyle name="40% - Accent4 4" xfId="279"/>
    <cellStyle name="40% - Accent4 5" xfId="280"/>
    <cellStyle name="40% - Accent4 6" xfId="281"/>
    <cellStyle name="40% - Accent4 7" xfId="282"/>
    <cellStyle name="40% - Accent4 8" xfId="283"/>
    <cellStyle name="40% - Accent4 9" xfId="284"/>
    <cellStyle name="40% - Accent5 10" xfId="285"/>
    <cellStyle name="40% - Accent5 11" xfId="286"/>
    <cellStyle name="40% - Accent5 12" xfId="287"/>
    <cellStyle name="40% - Accent5 13" xfId="288"/>
    <cellStyle name="40% - Accent5 14" xfId="289"/>
    <cellStyle name="40% - Accent5 15" xfId="290"/>
    <cellStyle name="40% - Accent5 16" xfId="291"/>
    <cellStyle name="40% - Accent5 17" xfId="76"/>
    <cellStyle name="40% - Accent5 2" xfId="292"/>
    <cellStyle name="40% - Accent5 3" xfId="293"/>
    <cellStyle name="40% - Accent5 4" xfId="294"/>
    <cellStyle name="40% - Accent5 5" xfId="295"/>
    <cellStyle name="40% - Accent5 6" xfId="296"/>
    <cellStyle name="40% - Accent5 7" xfId="297"/>
    <cellStyle name="40% - Accent5 8" xfId="298"/>
    <cellStyle name="40% - Accent5 9" xfId="299"/>
    <cellStyle name="40% - Accent6 10" xfId="300"/>
    <cellStyle name="40% - Accent6 11" xfId="301"/>
    <cellStyle name="40% - Accent6 12" xfId="302"/>
    <cellStyle name="40% - Accent6 13" xfId="303"/>
    <cellStyle name="40% - Accent6 14" xfId="304"/>
    <cellStyle name="40% - Accent6 15" xfId="305"/>
    <cellStyle name="40% - Accent6 16" xfId="306"/>
    <cellStyle name="40% - Accent6 17" xfId="77"/>
    <cellStyle name="40% - Accent6 2" xfId="307"/>
    <cellStyle name="40% - Accent6 3" xfId="308"/>
    <cellStyle name="40% - Accent6 4" xfId="309"/>
    <cellStyle name="40% - Accent6 5" xfId="310"/>
    <cellStyle name="40% - Accent6 6" xfId="311"/>
    <cellStyle name="40% - Accent6 7" xfId="312"/>
    <cellStyle name="40% - Accent6 8" xfId="313"/>
    <cellStyle name="40% - Accent6 9" xfId="314"/>
    <cellStyle name="60% - Accent1 10" xfId="315"/>
    <cellStyle name="60% - Accent1 11" xfId="316"/>
    <cellStyle name="60% - Accent1 12" xfId="317"/>
    <cellStyle name="60% - Accent1 13" xfId="318"/>
    <cellStyle name="60% - Accent1 14" xfId="319"/>
    <cellStyle name="60% - Accent1 15" xfId="320"/>
    <cellStyle name="60% - Accent1 16" xfId="321"/>
    <cellStyle name="60% - Accent1 17" xfId="78"/>
    <cellStyle name="60% - Accent1 2" xfId="322"/>
    <cellStyle name="60% - Accent1 3" xfId="323"/>
    <cellStyle name="60% - Accent1 4" xfId="324"/>
    <cellStyle name="60% - Accent1 5" xfId="325"/>
    <cellStyle name="60% - Accent1 6" xfId="326"/>
    <cellStyle name="60% - Accent1 7" xfId="327"/>
    <cellStyle name="60% - Accent1 8" xfId="328"/>
    <cellStyle name="60% - Accent1 9" xfId="329"/>
    <cellStyle name="60% - Accent2 10" xfId="330"/>
    <cellStyle name="60% - Accent2 11" xfId="331"/>
    <cellStyle name="60% - Accent2 12" xfId="332"/>
    <cellStyle name="60% - Accent2 13" xfId="333"/>
    <cellStyle name="60% - Accent2 14" xfId="334"/>
    <cellStyle name="60% - Accent2 15" xfId="335"/>
    <cellStyle name="60% - Accent2 16" xfId="336"/>
    <cellStyle name="60% - Accent2 17" xfId="79"/>
    <cellStyle name="60% - Accent2 2" xfId="337"/>
    <cellStyle name="60% - Accent2 3" xfId="338"/>
    <cellStyle name="60% - Accent2 4" xfId="339"/>
    <cellStyle name="60% - Accent2 5" xfId="340"/>
    <cellStyle name="60% - Accent2 6" xfId="341"/>
    <cellStyle name="60% - Accent2 7" xfId="342"/>
    <cellStyle name="60% - Accent2 8" xfId="343"/>
    <cellStyle name="60% - Accent2 9" xfId="344"/>
    <cellStyle name="60% - Accent3 10" xfId="345"/>
    <cellStyle name="60% - Accent3 11" xfId="346"/>
    <cellStyle name="60% - Accent3 12" xfId="347"/>
    <cellStyle name="60% - Accent3 13" xfId="348"/>
    <cellStyle name="60% - Accent3 14" xfId="349"/>
    <cellStyle name="60% - Accent3 15" xfId="350"/>
    <cellStyle name="60% - Accent3 16" xfId="351"/>
    <cellStyle name="60% - Accent3 17" xfId="80"/>
    <cellStyle name="60% - Accent3 2" xfId="352"/>
    <cellStyle name="60% - Accent3 3" xfId="353"/>
    <cellStyle name="60% - Accent3 4" xfId="354"/>
    <cellStyle name="60% - Accent3 5" xfId="355"/>
    <cellStyle name="60% - Accent3 6" xfId="356"/>
    <cellStyle name="60% - Accent3 7" xfId="357"/>
    <cellStyle name="60% - Accent3 8" xfId="358"/>
    <cellStyle name="60% - Accent3 9" xfId="359"/>
    <cellStyle name="60% - Accent4 10" xfId="360"/>
    <cellStyle name="60% - Accent4 11" xfId="361"/>
    <cellStyle name="60% - Accent4 12" xfId="362"/>
    <cellStyle name="60% - Accent4 13" xfId="363"/>
    <cellStyle name="60% - Accent4 14" xfId="364"/>
    <cellStyle name="60% - Accent4 15" xfId="365"/>
    <cellStyle name="60% - Accent4 16" xfId="366"/>
    <cellStyle name="60% - Accent4 17" xfId="81"/>
    <cellStyle name="60% - Accent4 2" xfId="367"/>
    <cellStyle name="60% - Accent4 3" xfId="368"/>
    <cellStyle name="60% - Accent4 4" xfId="369"/>
    <cellStyle name="60% - Accent4 5" xfId="370"/>
    <cellStyle name="60% - Accent4 6" xfId="371"/>
    <cellStyle name="60% - Accent4 7" xfId="372"/>
    <cellStyle name="60% - Accent4 8" xfId="373"/>
    <cellStyle name="60% - Accent4 9" xfId="374"/>
    <cellStyle name="60% - Accent5 10" xfId="375"/>
    <cellStyle name="60% - Accent5 11" xfId="376"/>
    <cellStyle name="60% - Accent5 12" xfId="377"/>
    <cellStyle name="60% - Accent5 13" xfId="378"/>
    <cellStyle name="60% - Accent5 14" xfId="379"/>
    <cellStyle name="60% - Accent5 15" xfId="380"/>
    <cellStyle name="60% - Accent5 16" xfId="381"/>
    <cellStyle name="60% - Accent5 17" xfId="82"/>
    <cellStyle name="60% - Accent5 2" xfId="382"/>
    <cellStyle name="60% - Accent5 3" xfId="383"/>
    <cellStyle name="60% - Accent5 4" xfId="384"/>
    <cellStyle name="60% - Accent5 5" xfId="385"/>
    <cellStyle name="60% - Accent5 6" xfId="386"/>
    <cellStyle name="60% - Accent5 7" xfId="387"/>
    <cellStyle name="60% - Accent5 8" xfId="388"/>
    <cellStyle name="60% - Accent5 9" xfId="389"/>
    <cellStyle name="60% - Accent6 10" xfId="390"/>
    <cellStyle name="60% - Accent6 11" xfId="391"/>
    <cellStyle name="60% - Accent6 12" xfId="392"/>
    <cellStyle name="60% - Accent6 13" xfId="393"/>
    <cellStyle name="60% - Accent6 14" xfId="394"/>
    <cellStyle name="60% - Accent6 15" xfId="395"/>
    <cellStyle name="60% - Accent6 16" xfId="396"/>
    <cellStyle name="60% - Accent6 17" xfId="83"/>
    <cellStyle name="60% - Accent6 2" xfId="397"/>
    <cellStyle name="60% - Accent6 3" xfId="398"/>
    <cellStyle name="60% - Accent6 4" xfId="399"/>
    <cellStyle name="60% - Accent6 5" xfId="400"/>
    <cellStyle name="60% - Accent6 6" xfId="401"/>
    <cellStyle name="60% - Accent6 7" xfId="402"/>
    <cellStyle name="60% - Accent6 8" xfId="403"/>
    <cellStyle name="60% - Accent6 9" xfId="404"/>
    <cellStyle name="Accent1 10" xfId="405"/>
    <cellStyle name="Accent1 11" xfId="406"/>
    <cellStyle name="Accent1 12" xfId="407"/>
    <cellStyle name="Accent1 13" xfId="408"/>
    <cellStyle name="Accent1 14" xfId="409"/>
    <cellStyle name="Accent1 15" xfId="410"/>
    <cellStyle name="Accent1 16" xfId="411"/>
    <cellStyle name="Accent1 17" xfId="84"/>
    <cellStyle name="Accent1 2" xfId="412"/>
    <cellStyle name="Accent1 3" xfId="413"/>
    <cellStyle name="Accent1 4" xfId="414"/>
    <cellStyle name="Accent1 5" xfId="415"/>
    <cellStyle name="Accent1 6" xfId="416"/>
    <cellStyle name="Accent1 7" xfId="417"/>
    <cellStyle name="Accent1 8" xfId="418"/>
    <cellStyle name="Accent1 9" xfId="419"/>
    <cellStyle name="Accent2 10" xfId="420"/>
    <cellStyle name="Accent2 11" xfId="421"/>
    <cellStyle name="Accent2 12" xfId="422"/>
    <cellStyle name="Accent2 13" xfId="423"/>
    <cellStyle name="Accent2 14" xfId="424"/>
    <cellStyle name="Accent2 15" xfId="425"/>
    <cellStyle name="Accent2 16" xfId="426"/>
    <cellStyle name="Accent2 17" xfId="85"/>
    <cellStyle name="Accent2 2" xfId="427"/>
    <cellStyle name="Accent2 3" xfId="428"/>
    <cellStyle name="Accent2 4" xfId="429"/>
    <cellStyle name="Accent2 5" xfId="430"/>
    <cellStyle name="Accent2 6" xfId="431"/>
    <cellStyle name="Accent2 7" xfId="432"/>
    <cellStyle name="Accent2 8" xfId="433"/>
    <cellStyle name="Accent2 9" xfId="434"/>
    <cellStyle name="Accent3 10" xfId="435"/>
    <cellStyle name="Accent3 11" xfId="436"/>
    <cellStyle name="Accent3 12" xfId="437"/>
    <cellStyle name="Accent3 13" xfId="438"/>
    <cellStyle name="Accent3 14" xfId="439"/>
    <cellStyle name="Accent3 15" xfId="440"/>
    <cellStyle name="Accent3 16" xfId="441"/>
    <cellStyle name="Accent3 17" xfId="86"/>
    <cellStyle name="Accent3 2" xfId="442"/>
    <cellStyle name="Accent3 3" xfId="443"/>
    <cellStyle name="Accent3 4" xfId="444"/>
    <cellStyle name="Accent3 5" xfId="445"/>
    <cellStyle name="Accent3 6" xfId="446"/>
    <cellStyle name="Accent3 7" xfId="447"/>
    <cellStyle name="Accent3 8" xfId="448"/>
    <cellStyle name="Accent3 9" xfId="449"/>
    <cellStyle name="Accent4 10" xfId="450"/>
    <cellStyle name="Accent4 11" xfId="451"/>
    <cellStyle name="Accent4 12" xfId="452"/>
    <cellStyle name="Accent4 13" xfId="453"/>
    <cellStyle name="Accent4 14" xfId="454"/>
    <cellStyle name="Accent4 15" xfId="455"/>
    <cellStyle name="Accent4 16" xfId="456"/>
    <cellStyle name="Accent4 17" xfId="87"/>
    <cellStyle name="Accent4 2" xfId="457"/>
    <cellStyle name="Accent4 3" xfId="458"/>
    <cellStyle name="Accent4 4" xfId="459"/>
    <cellStyle name="Accent4 5" xfId="460"/>
    <cellStyle name="Accent4 6" xfId="461"/>
    <cellStyle name="Accent4 7" xfId="462"/>
    <cellStyle name="Accent4 8" xfId="463"/>
    <cellStyle name="Accent4 9" xfId="464"/>
    <cellStyle name="Accent5 10" xfId="465"/>
    <cellStyle name="Accent5 11" xfId="466"/>
    <cellStyle name="Accent5 12" xfId="467"/>
    <cellStyle name="Accent5 13" xfId="468"/>
    <cellStyle name="Accent5 14" xfId="469"/>
    <cellStyle name="Accent5 15" xfId="470"/>
    <cellStyle name="Accent5 16" xfId="471"/>
    <cellStyle name="Accent5 17" xfId="88"/>
    <cellStyle name="Accent5 2" xfId="472"/>
    <cellStyle name="Accent5 3" xfId="473"/>
    <cellStyle name="Accent5 4" xfId="474"/>
    <cellStyle name="Accent5 5" xfId="475"/>
    <cellStyle name="Accent5 6" xfId="476"/>
    <cellStyle name="Accent5 7" xfId="477"/>
    <cellStyle name="Accent5 8" xfId="478"/>
    <cellStyle name="Accent5 9" xfId="479"/>
    <cellStyle name="Accent6 10" xfId="480"/>
    <cellStyle name="Accent6 11" xfId="481"/>
    <cellStyle name="Accent6 12" xfId="482"/>
    <cellStyle name="Accent6 13" xfId="483"/>
    <cellStyle name="Accent6 14" xfId="484"/>
    <cellStyle name="Accent6 15" xfId="485"/>
    <cellStyle name="Accent6 16" xfId="486"/>
    <cellStyle name="Accent6 17" xfId="89"/>
    <cellStyle name="Accent6 2" xfId="487"/>
    <cellStyle name="Accent6 3" xfId="488"/>
    <cellStyle name="Accent6 4" xfId="489"/>
    <cellStyle name="Accent6 5" xfId="490"/>
    <cellStyle name="Accent6 6" xfId="491"/>
    <cellStyle name="Accent6 7" xfId="492"/>
    <cellStyle name="Accent6 8" xfId="493"/>
    <cellStyle name="Accent6 9" xfId="494"/>
    <cellStyle name="Bad 10" xfId="495"/>
    <cellStyle name="Bad 11" xfId="496"/>
    <cellStyle name="Bad 12" xfId="497"/>
    <cellStyle name="Bad 13" xfId="498"/>
    <cellStyle name="Bad 14" xfId="499"/>
    <cellStyle name="Bad 15" xfId="500"/>
    <cellStyle name="Bad 16" xfId="501"/>
    <cellStyle name="Bad 17" xfId="90"/>
    <cellStyle name="Bad 2" xfId="502"/>
    <cellStyle name="Bad 3" xfId="503"/>
    <cellStyle name="Bad 4" xfId="504"/>
    <cellStyle name="Bad 5" xfId="505"/>
    <cellStyle name="Bad 6" xfId="506"/>
    <cellStyle name="Bad 7" xfId="507"/>
    <cellStyle name="Bad 8" xfId="508"/>
    <cellStyle name="Bad 9" xfId="509"/>
    <cellStyle name="Calculation 10" xfId="510"/>
    <cellStyle name="Calculation 11" xfId="511"/>
    <cellStyle name="Calculation 12" xfId="512"/>
    <cellStyle name="Calculation 13" xfId="513"/>
    <cellStyle name="Calculation 14" xfId="514"/>
    <cellStyle name="Calculation 15" xfId="515"/>
    <cellStyle name="Calculation 16" xfId="516"/>
    <cellStyle name="Calculation 17" xfId="91"/>
    <cellStyle name="Calculation 2" xfId="517"/>
    <cellStyle name="Calculation 3" xfId="518"/>
    <cellStyle name="Calculation 4" xfId="519"/>
    <cellStyle name="Calculation 5" xfId="520"/>
    <cellStyle name="Calculation 6" xfId="521"/>
    <cellStyle name="Calculation 7" xfId="522"/>
    <cellStyle name="Calculation 8" xfId="523"/>
    <cellStyle name="Calculation 9" xfId="524"/>
    <cellStyle name="Check Cell 10" xfId="525"/>
    <cellStyle name="Check Cell 11" xfId="526"/>
    <cellStyle name="Check Cell 12" xfId="527"/>
    <cellStyle name="Check Cell 13" xfId="528"/>
    <cellStyle name="Check Cell 14" xfId="529"/>
    <cellStyle name="Check Cell 15" xfId="530"/>
    <cellStyle name="Check Cell 16" xfId="531"/>
    <cellStyle name="Check Cell 17" xfId="92"/>
    <cellStyle name="Check Cell 2" xfId="532"/>
    <cellStyle name="Check Cell 3" xfId="533"/>
    <cellStyle name="Check Cell 4" xfId="534"/>
    <cellStyle name="Check Cell 5" xfId="535"/>
    <cellStyle name="Check Cell 6" xfId="536"/>
    <cellStyle name="Check Cell 7" xfId="537"/>
    <cellStyle name="Check Cell 8" xfId="538"/>
    <cellStyle name="Check Cell 9" xfId="539"/>
    <cellStyle name="Comma" xfId="1193" builtinId="3"/>
    <cellStyle name="Comma 11" xfId="540"/>
    <cellStyle name="Comma 112" xfId="541"/>
    <cellStyle name="Comma 113" xfId="542"/>
    <cellStyle name="Comma 114" xfId="543"/>
    <cellStyle name="Comma 116" xfId="544"/>
    <cellStyle name="Comma 12" xfId="545"/>
    <cellStyle name="Comma 13" xfId="546"/>
    <cellStyle name="Comma 14" xfId="547"/>
    <cellStyle name="Comma 15" xfId="548"/>
    <cellStyle name="Comma 16" xfId="549"/>
    <cellStyle name="Comma 17" xfId="550"/>
    <cellStyle name="Comma 18" xfId="551"/>
    <cellStyle name="Comma 19" xfId="552"/>
    <cellStyle name="Comma 2" xfId="93"/>
    <cellStyle name="Comma 2 2" xfId="134"/>
    <cellStyle name="Comma 20" xfId="553"/>
    <cellStyle name="Comma 21" xfId="554"/>
    <cellStyle name="Comma 22" xfId="555"/>
    <cellStyle name="Comma 23" xfId="556"/>
    <cellStyle name="Comma 24" xfId="557"/>
    <cellStyle name="Comma 25" xfId="558"/>
    <cellStyle name="Comma 26" xfId="559"/>
    <cellStyle name="Comma 27" xfId="560"/>
    <cellStyle name="Comma 28" xfId="561"/>
    <cellStyle name="Comma 29" xfId="562"/>
    <cellStyle name="Comma 3" xfId="94"/>
    <cellStyle name="Comma 3 2" xfId="95"/>
    <cellStyle name="Comma 30" xfId="563"/>
    <cellStyle name="Comma 31" xfId="564"/>
    <cellStyle name="Comma 32" xfId="565"/>
    <cellStyle name="Comma 33" xfId="566"/>
    <cellStyle name="Comma 34" xfId="567"/>
    <cellStyle name="Comma 35" xfId="568"/>
    <cellStyle name="Comma 36" xfId="569"/>
    <cellStyle name="Comma 37" xfId="570"/>
    <cellStyle name="Comma 39" xfId="571"/>
    <cellStyle name="Comma 4" xfId="96"/>
    <cellStyle name="Comma 40" xfId="572"/>
    <cellStyle name="Comma 41" xfId="573"/>
    <cellStyle name="Comma 42" xfId="574"/>
    <cellStyle name="Comma 43" xfId="575"/>
    <cellStyle name="Comma 44" xfId="576"/>
    <cellStyle name="Comma 45" xfId="577"/>
    <cellStyle name="Comma 46" xfId="578"/>
    <cellStyle name="Comma 47" xfId="579"/>
    <cellStyle name="Comma 48" xfId="580"/>
    <cellStyle name="Comma 49" xfId="581"/>
    <cellStyle name="Comma 5" xfId="97"/>
    <cellStyle name="Comma 50" xfId="582"/>
    <cellStyle name="Comma 51" xfId="583"/>
    <cellStyle name="Comma 52" xfId="584"/>
    <cellStyle name="Comma 53" xfId="585"/>
    <cellStyle name="Comma 54" xfId="586"/>
    <cellStyle name="Comma 55" xfId="587"/>
    <cellStyle name="Comma 56" xfId="588"/>
    <cellStyle name="Comma 57" xfId="589"/>
    <cellStyle name="Comma 58" xfId="590"/>
    <cellStyle name="Comma 59" xfId="591"/>
    <cellStyle name="Comma 6" xfId="131"/>
    <cellStyle name="Comma 6 10" xfId="592"/>
    <cellStyle name="Comma 6 11" xfId="593"/>
    <cellStyle name="Comma 6 12" xfId="594"/>
    <cellStyle name="Comma 6 13" xfId="595"/>
    <cellStyle name="Comma 6 14" xfId="596"/>
    <cellStyle name="Comma 6 15" xfId="597"/>
    <cellStyle name="Comma 6 16" xfId="598"/>
    <cellStyle name="Comma 6 17" xfId="599"/>
    <cellStyle name="Comma 6 18" xfId="600"/>
    <cellStyle name="Comma 6 19" xfId="601"/>
    <cellStyle name="Comma 6 2" xfId="132"/>
    <cellStyle name="Comma 6 2 2" xfId="1181"/>
    <cellStyle name="Comma 6 20" xfId="602"/>
    <cellStyle name="Comma 6 21" xfId="603"/>
    <cellStyle name="Comma 6 22" xfId="604"/>
    <cellStyle name="Comma 6 23" xfId="605"/>
    <cellStyle name="Comma 6 24" xfId="606"/>
    <cellStyle name="Comma 6 25" xfId="607"/>
    <cellStyle name="Comma 6 26" xfId="608"/>
    <cellStyle name="Comma 6 27" xfId="609"/>
    <cellStyle name="Comma 6 28" xfId="610"/>
    <cellStyle name="Comma 6 3" xfId="611"/>
    <cellStyle name="Comma 6 4" xfId="612"/>
    <cellStyle name="Comma 6 5" xfId="613"/>
    <cellStyle name="Comma 6 6" xfId="614"/>
    <cellStyle name="Comma 6 7" xfId="615"/>
    <cellStyle name="Comma 6 8" xfId="616"/>
    <cellStyle name="Comma 6 9" xfId="617"/>
    <cellStyle name="Comma 60" xfId="618"/>
    <cellStyle name="Comma 61" xfId="619"/>
    <cellStyle name="Comma 62" xfId="620"/>
    <cellStyle name="Comma 63" xfId="621"/>
    <cellStyle name="Comma 64" xfId="622"/>
    <cellStyle name="Comma 65" xfId="623"/>
    <cellStyle name="Comma 7" xfId="624"/>
    <cellStyle name="Comma 7 10" xfId="625"/>
    <cellStyle name="Comma 7 11" xfId="626"/>
    <cellStyle name="Comma 7 12" xfId="627"/>
    <cellStyle name="Comma 7 13" xfId="628"/>
    <cellStyle name="Comma 7 14" xfId="629"/>
    <cellStyle name="Comma 7 15" xfId="630"/>
    <cellStyle name="Comma 7 16" xfId="631"/>
    <cellStyle name="Comma 7 17" xfId="632"/>
    <cellStyle name="Comma 7 18" xfId="633"/>
    <cellStyle name="Comma 7 19" xfId="634"/>
    <cellStyle name="Comma 7 2" xfId="635"/>
    <cellStyle name="Comma 7 20" xfId="636"/>
    <cellStyle name="Comma 7 21" xfId="637"/>
    <cellStyle name="Comma 7 22" xfId="638"/>
    <cellStyle name="Comma 7 23" xfId="639"/>
    <cellStyle name="Comma 7 24" xfId="640"/>
    <cellStyle name="Comma 7 25" xfId="641"/>
    <cellStyle name="Comma 7 26" xfId="642"/>
    <cellStyle name="Comma 7 27" xfId="643"/>
    <cellStyle name="Comma 7 28" xfId="644"/>
    <cellStyle name="Comma 7 3" xfId="645"/>
    <cellStyle name="Comma 7 4" xfId="646"/>
    <cellStyle name="Comma 7 5" xfId="647"/>
    <cellStyle name="Comma 7 6" xfId="648"/>
    <cellStyle name="Comma 7 7" xfId="649"/>
    <cellStyle name="Comma 7 8" xfId="650"/>
    <cellStyle name="Comma 7 9" xfId="651"/>
    <cellStyle name="Comma 8" xfId="1176"/>
    <cellStyle name="Comma 9" xfId="1184"/>
    <cellStyle name="Currency" xfId="1" builtinId="4"/>
    <cellStyle name="Currency 2" xfId="60"/>
    <cellStyle name="Currency 2 2" xfId="99"/>
    <cellStyle name="Currency 2 3" xfId="98"/>
    <cellStyle name="Currency 28" xfId="652"/>
    <cellStyle name="Currency 3" xfId="1178"/>
    <cellStyle name="Currency 4" xfId="133"/>
    <cellStyle name="Explanatory Text 10" xfId="653"/>
    <cellStyle name="Explanatory Text 11" xfId="654"/>
    <cellStyle name="Explanatory Text 12" xfId="655"/>
    <cellStyle name="Explanatory Text 13" xfId="656"/>
    <cellStyle name="Explanatory Text 14" xfId="657"/>
    <cellStyle name="Explanatory Text 15" xfId="658"/>
    <cellStyle name="Explanatory Text 16" xfId="659"/>
    <cellStyle name="Explanatory Text 17" xfId="100"/>
    <cellStyle name="Explanatory Text 2" xfId="660"/>
    <cellStyle name="Explanatory Text 3" xfId="661"/>
    <cellStyle name="Explanatory Text 4" xfId="662"/>
    <cellStyle name="Explanatory Text 5" xfId="663"/>
    <cellStyle name="Explanatory Text 6" xfId="664"/>
    <cellStyle name="Explanatory Text 7" xfId="665"/>
    <cellStyle name="Explanatory Text 8" xfId="666"/>
    <cellStyle name="Explanatory Text 9" xfId="667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1192" builtinId="9" hidden="1"/>
    <cellStyle name="Good 10" xfId="668"/>
    <cellStyle name="Good 11" xfId="669"/>
    <cellStyle name="Good 12" xfId="670"/>
    <cellStyle name="Good 13" xfId="671"/>
    <cellStyle name="Good 14" xfId="672"/>
    <cellStyle name="Good 15" xfId="673"/>
    <cellStyle name="Good 16" xfId="674"/>
    <cellStyle name="Good 17" xfId="101"/>
    <cellStyle name="Good 2" xfId="675"/>
    <cellStyle name="Good 3" xfId="676"/>
    <cellStyle name="Good 4" xfId="677"/>
    <cellStyle name="Good 5" xfId="678"/>
    <cellStyle name="Good 6" xfId="679"/>
    <cellStyle name="Good 7" xfId="680"/>
    <cellStyle name="Good 8" xfId="681"/>
    <cellStyle name="Good 9" xfId="682"/>
    <cellStyle name="Heading 1 10" xfId="683"/>
    <cellStyle name="Heading 1 11" xfId="684"/>
    <cellStyle name="Heading 1 12" xfId="685"/>
    <cellStyle name="Heading 1 13" xfId="686"/>
    <cellStyle name="Heading 1 14" xfId="687"/>
    <cellStyle name="Heading 1 15" xfId="688"/>
    <cellStyle name="Heading 1 16" xfId="689"/>
    <cellStyle name="Heading 1 17" xfId="102"/>
    <cellStyle name="Heading 1 2" xfId="690"/>
    <cellStyle name="Heading 1 3" xfId="691"/>
    <cellStyle name="Heading 1 4" xfId="692"/>
    <cellStyle name="Heading 1 5" xfId="693"/>
    <cellStyle name="Heading 1 6" xfId="694"/>
    <cellStyle name="Heading 1 7" xfId="695"/>
    <cellStyle name="Heading 1 8" xfId="696"/>
    <cellStyle name="Heading 1 9" xfId="697"/>
    <cellStyle name="Heading 2 10" xfId="698"/>
    <cellStyle name="Heading 2 11" xfId="699"/>
    <cellStyle name="Heading 2 12" xfId="700"/>
    <cellStyle name="Heading 2 13" xfId="701"/>
    <cellStyle name="Heading 2 14" xfId="702"/>
    <cellStyle name="Heading 2 15" xfId="703"/>
    <cellStyle name="Heading 2 16" xfId="704"/>
    <cellStyle name="Heading 2 17" xfId="103"/>
    <cellStyle name="Heading 2 2" xfId="705"/>
    <cellStyle name="Heading 2 3" xfId="706"/>
    <cellStyle name="Heading 2 4" xfId="707"/>
    <cellStyle name="Heading 2 5" xfId="708"/>
    <cellStyle name="Heading 2 6" xfId="709"/>
    <cellStyle name="Heading 2 7" xfId="710"/>
    <cellStyle name="Heading 2 8" xfId="711"/>
    <cellStyle name="Heading 2 9" xfId="712"/>
    <cellStyle name="Heading 3 10" xfId="713"/>
    <cellStyle name="Heading 3 11" xfId="714"/>
    <cellStyle name="Heading 3 12" xfId="715"/>
    <cellStyle name="Heading 3 13" xfId="716"/>
    <cellStyle name="Heading 3 14" xfId="717"/>
    <cellStyle name="Heading 3 15" xfId="718"/>
    <cellStyle name="Heading 3 16" xfId="719"/>
    <cellStyle name="Heading 3 17" xfId="104"/>
    <cellStyle name="Heading 3 2" xfId="720"/>
    <cellStyle name="Heading 3 3" xfId="721"/>
    <cellStyle name="Heading 3 4" xfId="722"/>
    <cellStyle name="Heading 3 5" xfId="723"/>
    <cellStyle name="Heading 3 6" xfId="724"/>
    <cellStyle name="Heading 3 7" xfId="725"/>
    <cellStyle name="Heading 3 8" xfId="726"/>
    <cellStyle name="Heading 3 9" xfId="727"/>
    <cellStyle name="Heading 4 10" xfId="728"/>
    <cellStyle name="Heading 4 11" xfId="729"/>
    <cellStyle name="Heading 4 12" xfId="730"/>
    <cellStyle name="Heading 4 13" xfId="731"/>
    <cellStyle name="Heading 4 14" xfId="732"/>
    <cellStyle name="Heading 4 15" xfId="733"/>
    <cellStyle name="Heading 4 16" xfId="734"/>
    <cellStyle name="Heading 4 17" xfId="105"/>
    <cellStyle name="Heading 4 2" xfId="735"/>
    <cellStyle name="Heading 4 3" xfId="736"/>
    <cellStyle name="Heading 4 4" xfId="737"/>
    <cellStyle name="Heading 4 5" xfId="738"/>
    <cellStyle name="Heading 4 6" xfId="739"/>
    <cellStyle name="Heading 4 7" xfId="740"/>
    <cellStyle name="Heading 4 8" xfId="741"/>
    <cellStyle name="Heading 4 9" xfId="742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1191" builtinId="8" hidden="1"/>
    <cellStyle name="Input 10" xfId="743"/>
    <cellStyle name="Input 11" xfId="744"/>
    <cellStyle name="Input 12" xfId="745"/>
    <cellStyle name="Input 13" xfId="746"/>
    <cellStyle name="Input 14" xfId="747"/>
    <cellStyle name="Input 15" xfId="748"/>
    <cellStyle name="Input 16" xfId="749"/>
    <cellStyle name="Input 17" xfId="106"/>
    <cellStyle name="Input 2" xfId="750"/>
    <cellStyle name="Input 3" xfId="751"/>
    <cellStyle name="Input 4" xfId="752"/>
    <cellStyle name="Input 5" xfId="753"/>
    <cellStyle name="Input 6" xfId="754"/>
    <cellStyle name="Input 7" xfId="755"/>
    <cellStyle name="Input 8" xfId="756"/>
    <cellStyle name="Input 9" xfId="757"/>
    <cellStyle name="Linked Cell 10" xfId="758"/>
    <cellStyle name="Linked Cell 11" xfId="759"/>
    <cellStyle name="Linked Cell 12" xfId="760"/>
    <cellStyle name="Linked Cell 13" xfId="761"/>
    <cellStyle name="Linked Cell 14" xfId="762"/>
    <cellStyle name="Linked Cell 15" xfId="763"/>
    <cellStyle name="Linked Cell 16" xfId="764"/>
    <cellStyle name="Linked Cell 17" xfId="107"/>
    <cellStyle name="Linked Cell 2" xfId="765"/>
    <cellStyle name="Linked Cell 3" xfId="766"/>
    <cellStyle name="Linked Cell 4" xfId="767"/>
    <cellStyle name="Linked Cell 5" xfId="768"/>
    <cellStyle name="Linked Cell 6" xfId="769"/>
    <cellStyle name="Linked Cell 7" xfId="770"/>
    <cellStyle name="Linked Cell 8" xfId="771"/>
    <cellStyle name="Linked Cell 9" xfId="772"/>
    <cellStyle name="Neutral 10" xfId="773"/>
    <cellStyle name="Neutral 11" xfId="774"/>
    <cellStyle name="Neutral 12" xfId="775"/>
    <cellStyle name="Neutral 13" xfId="776"/>
    <cellStyle name="Neutral 14" xfId="777"/>
    <cellStyle name="Neutral 15" xfId="778"/>
    <cellStyle name="Neutral 16" xfId="779"/>
    <cellStyle name="Neutral 17" xfId="108"/>
    <cellStyle name="Neutral 2" xfId="780"/>
    <cellStyle name="Neutral 3" xfId="781"/>
    <cellStyle name="Neutral 4" xfId="782"/>
    <cellStyle name="Neutral 5" xfId="783"/>
    <cellStyle name="Neutral 6" xfId="784"/>
    <cellStyle name="Neutral 7" xfId="785"/>
    <cellStyle name="Neutral 8" xfId="786"/>
    <cellStyle name="Neutral 9" xfId="787"/>
    <cellStyle name="Normal" xfId="0" builtinId="0"/>
    <cellStyle name="Normal - Style1" xfId="788"/>
    <cellStyle name="Normal - Style2" xfId="789"/>
    <cellStyle name="Normal - Style3" xfId="790"/>
    <cellStyle name="Normal - Style4" xfId="791"/>
    <cellStyle name="Normal - Style5" xfId="792"/>
    <cellStyle name="Normal 10" xfId="128"/>
    <cellStyle name="Normal 10 10" xfId="793"/>
    <cellStyle name="Normal 10 11" xfId="794"/>
    <cellStyle name="Normal 10 12" xfId="795"/>
    <cellStyle name="Normal 10 13" xfId="796"/>
    <cellStyle name="Normal 10 14" xfId="797"/>
    <cellStyle name="Normal 10 15" xfId="798"/>
    <cellStyle name="Normal 10 16" xfId="799"/>
    <cellStyle name="Normal 10 17" xfId="800"/>
    <cellStyle name="Normal 10 18" xfId="801"/>
    <cellStyle name="Normal 10 19" xfId="802"/>
    <cellStyle name="Normal 10 2" xfId="803"/>
    <cellStyle name="Normal 10 2 2" xfId="804"/>
    <cellStyle name="Normal 10 20" xfId="805"/>
    <cellStyle name="Normal 10 21" xfId="806"/>
    <cellStyle name="Normal 10 22" xfId="807"/>
    <cellStyle name="Normal 10 23" xfId="808"/>
    <cellStyle name="Normal 10 24" xfId="809"/>
    <cellStyle name="Normal 10 25" xfId="810"/>
    <cellStyle name="Normal 10 26" xfId="811"/>
    <cellStyle name="Normal 10 27" xfId="812"/>
    <cellStyle name="Normal 10 28" xfId="813"/>
    <cellStyle name="Normal 10 3" xfId="814"/>
    <cellStyle name="Normal 10 4" xfId="815"/>
    <cellStyle name="Normal 10 5" xfId="816"/>
    <cellStyle name="Normal 10 6" xfId="817"/>
    <cellStyle name="Normal 10 7" xfId="818"/>
    <cellStyle name="Normal 10 8" xfId="819"/>
    <cellStyle name="Normal 10 9" xfId="820"/>
    <cellStyle name="Normal 11" xfId="129"/>
    <cellStyle name="Normal 11 10" xfId="821"/>
    <cellStyle name="Normal 11 11" xfId="822"/>
    <cellStyle name="Normal 11 12" xfId="823"/>
    <cellStyle name="Normal 11 13" xfId="824"/>
    <cellStyle name="Normal 11 14" xfId="825"/>
    <cellStyle name="Normal 11 15" xfId="826"/>
    <cellStyle name="Normal 11 16" xfId="827"/>
    <cellStyle name="Normal 11 17" xfId="828"/>
    <cellStyle name="Normal 11 18" xfId="829"/>
    <cellStyle name="Normal 11 19" xfId="830"/>
    <cellStyle name="Normal 11 2" xfId="831"/>
    <cellStyle name="Normal 11 20" xfId="832"/>
    <cellStyle name="Normal 11 21" xfId="833"/>
    <cellStyle name="Normal 11 22" xfId="834"/>
    <cellStyle name="Normal 11 23" xfId="835"/>
    <cellStyle name="Normal 11 24" xfId="836"/>
    <cellStyle name="Normal 11 25" xfId="837"/>
    <cellStyle name="Normal 11 26" xfId="838"/>
    <cellStyle name="Normal 11 27" xfId="839"/>
    <cellStyle name="Normal 11 28" xfId="840"/>
    <cellStyle name="Normal 11 3" xfId="841"/>
    <cellStyle name="Normal 11 4" xfId="842"/>
    <cellStyle name="Normal 11 5" xfId="843"/>
    <cellStyle name="Normal 11 6" xfId="844"/>
    <cellStyle name="Normal 11 7" xfId="845"/>
    <cellStyle name="Normal 11 8" xfId="846"/>
    <cellStyle name="Normal 11 9" xfId="847"/>
    <cellStyle name="Normal 12" xfId="130"/>
    <cellStyle name="Normal 12 10" xfId="848"/>
    <cellStyle name="Normal 12 11" xfId="849"/>
    <cellStyle name="Normal 12 12" xfId="850"/>
    <cellStyle name="Normal 12 13" xfId="851"/>
    <cellStyle name="Normal 12 14" xfId="852"/>
    <cellStyle name="Normal 12 15" xfId="853"/>
    <cellStyle name="Normal 12 16" xfId="854"/>
    <cellStyle name="Normal 12 17" xfId="855"/>
    <cellStyle name="Normal 12 18" xfId="856"/>
    <cellStyle name="Normal 12 19" xfId="857"/>
    <cellStyle name="Normal 12 2" xfId="127"/>
    <cellStyle name="Normal 12 20" xfId="858"/>
    <cellStyle name="Normal 12 21" xfId="859"/>
    <cellStyle name="Normal 12 22" xfId="860"/>
    <cellStyle name="Normal 12 23" xfId="861"/>
    <cellStyle name="Normal 12 24" xfId="862"/>
    <cellStyle name="Normal 12 25" xfId="863"/>
    <cellStyle name="Normal 12 26" xfId="864"/>
    <cellStyle name="Normal 12 27" xfId="865"/>
    <cellStyle name="Normal 12 28" xfId="866"/>
    <cellStyle name="Normal 12 29" xfId="867"/>
    <cellStyle name="Normal 12 3" xfId="868"/>
    <cellStyle name="Normal 12 4" xfId="869"/>
    <cellStyle name="Normal 12 5" xfId="870"/>
    <cellStyle name="Normal 12 6" xfId="871"/>
    <cellStyle name="Normal 12 7" xfId="872"/>
    <cellStyle name="Normal 12 8" xfId="873"/>
    <cellStyle name="Normal 12 9" xfId="874"/>
    <cellStyle name="Normal 12_ORTHOPAEDICS - 2010-11 Budget Template" xfId="875"/>
    <cellStyle name="Normal 13" xfId="876"/>
    <cellStyle name="Normal 14" xfId="877"/>
    <cellStyle name="Normal 15" xfId="878"/>
    <cellStyle name="Normal 16" xfId="879"/>
    <cellStyle name="Normal 17" xfId="880"/>
    <cellStyle name="Normal 18" xfId="881"/>
    <cellStyle name="Normal 19" xfId="882"/>
    <cellStyle name="Normal 2" xfId="61"/>
    <cellStyle name="Normal 2 10" xfId="883"/>
    <cellStyle name="Normal 2 11" xfId="884"/>
    <cellStyle name="Normal 2 12" xfId="885"/>
    <cellStyle name="Normal 2 13" xfId="886"/>
    <cellStyle name="Normal 2 14" xfId="887"/>
    <cellStyle name="Normal 2 15" xfId="888"/>
    <cellStyle name="Normal 2 16" xfId="889"/>
    <cellStyle name="Normal 2 17" xfId="890"/>
    <cellStyle name="Normal 2 18" xfId="891"/>
    <cellStyle name="Normal 2 19" xfId="892"/>
    <cellStyle name="Normal 2 2" xfId="893"/>
    <cellStyle name="Normal 2 2 2" xfId="894"/>
    <cellStyle name="Normal 2 20" xfId="895"/>
    <cellStyle name="Normal 2 21" xfId="896"/>
    <cellStyle name="Normal 2 22" xfId="897"/>
    <cellStyle name="Normal 2 23" xfId="898"/>
    <cellStyle name="Normal 2 24" xfId="899"/>
    <cellStyle name="Normal 2 25" xfId="900"/>
    <cellStyle name="Normal 2 26" xfId="901"/>
    <cellStyle name="Normal 2 27" xfId="902"/>
    <cellStyle name="Normal 2 28" xfId="903"/>
    <cellStyle name="Normal 2 29" xfId="904"/>
    <cellStyle name="Normal 2 3" xfId="905"/>
    <cellStyle name="Normal 2 30" xfId="1182"/>
    <cellStyle name="Normal 2 31" xfId="1188"/>
    <cellStyle name="Normal 2 32" xfId="109"/>
    <cellStyle name="Normal 2 4" xfId="906"/>
    <cellStyle name="Normal 2 5" xfId="907"/>
    <cellStyle name="Normal 2 6" xfId="908"/>
    <cellStyle name="Normal 2 7" xfId="909"/>
    <cellStyle name="Normal 2 8" xfId="910"/>
    <cellStyle name="Normal 2 9" xfId="911"/>
    <cellStyle name="Normal 2_ORTHOPAEDICS - 2010-11 Budget Template" xfId="912"/>
    <cellStyle name="Normal 20" xfId="913"/>
    <cellStyle name="Normal 21" xfId="914"/>
    <cellStyle name="Normal 22" xfId="915"/>
    <cellStyle name="Normal 23" xfId="916"/>
    <cellStyle name="Normal 24" xfId="917"/>
    <cellStyle name="Normal 25" xfId="918"/>
    <cellStyle name="Normal 26" xfId="919"/>
    <cellStyle name="Normal 27" xfId="920"/>
    <cellStyle name="Normal 28" xfId="1175"/>
    <cellStyle name="Normal 29" xfId="921"/>
    <cellStyle name="Normal 3" xfId="62"/>
    <cellStyle name="Normal 3 10" xfId="922"/>
    <cellStyle name="Normal 3 11" xfId="923"/>
    <cellStyle name="Normal 3 12" xfId="924"/>
    <cellStyle name="Normal 3 13" xfId="925"/>
    <cellStyle name="Normal 3 14" xfId="926"/>
    <cellStyle name="Normal 3 15" xfId="927"/>
    <cellStyle name="Normal 3 16" xfId="928"/>
    <cellStyle name="Normal 3 17" xfId="929"/>
    <cellStyle name="Normal 3 18" xfId="930"/>
    <cellStyle name="Normal 3 19" xfId="931"/>
    <cellStyle name="Normal 3 2" xfId="126"/>
    <cellStyle name="Normal 3 20" xfId="932"/>
    <cellStyle name="Normal 3 21" xfId="933"/>
    <cellStyle name="Normal 3 22" xfId="934"/>
    <cellStyle name="Normal 3 23" xfId="935"/>
    <cellStyle name="Normal 3 24" xfId="936"/>
    <cellStyle name="Normal 3 25" xfId="937"/>
    <cellStyle name="Normal 3 26" xfId="938"/>
    <cellStyle name="Normal 3 27" xfId="939"/>
    <cellStyle name="Normal 3 28" xfId="940"/>
    <cellStyle name="Normal 3 29" xfId="941"/>
    <cellStyle name="Normal 3 3" xfId="942"/>
    <cellStyle name="Normal 3 30" xfId="110"/>
    <cellStyle name="Normal 3 4" xfId="943"/>
    <cellStyle name="Normal 3 5" xfId="944"/>
    <cellStyle name="Normal 3 6" xfId="945"/>
    <cellStyle name="Normal 3 7" xfId="946"/>
    <cellStyle name="Normal 3 8" xfId="947"/>
    <cellStyle name="Normal 3 9" xfId="948"/>
    <cellStyle name="Normal 30" xfId="949"/>
    <cellStyle name="Normal 31" xfId="950"/>
    <cellStyle name="Normal 32" xfId="951"/>
    <cellStyle name="Normal 33" xfId="1179"/>
    <cellStyle name="Normal 33 2" xfId="1183"/>
    <cellStyle name="Normal 34" xfId="952"/>
    <cellStyle name="Normal 35" xfId="953"/>
    <cellStyle name="Normal 36" xfId="954"/>
    <cellStyle name="Normal 37" xfId="955"/>
    <cellStyle name="Normal 38" xfId="956"/>
    <cellStyle name="Normal 39" xfId="957"/>
    <cellStyle name="Normal 4" xfId="111"/>
    <cellStyle name="Normal 4 10" xfId="958"/>
    <cellStyle name="Normal 4 11" xfId="959"/>
    <cellStyle name="Normal 4 12" xfId="960"/>
    <cellStyle name="Normal 4 13" xfId="961"/>
    <cellStyle name="Normal 4 14" xfId="962"/>
    <cellStyle name="Normal 4 15" xfId="963"/>
    <cellStyle name="Normal 4 16" xfId="964"/>
    <cellStyle name="Normal 4 17" xfId="965"/>
    <cellStyle name="Normal 4 18" xfId="966"/>
    <cellStyle name="Normal 4 19" xfId="967"/>
    <cellStyle name="Normal 4 2" xfId="968"/>
    <cellStyle name="Normal 4 20" xfId="969"/>
    <cellStyle name="Normal 4 21" xfId="970"/>
    <cellStyle name="Normal 4 22" xfId="971"/>
    <cellStyle name="Normal 4 23" xfId="972"/>
    <cellStyle name="Normal 4 24" xfId="973"/>
    <cellStyle name="Normal 4 25" xfId="974"/>
    <cellStyle name="Normal 4 26" xfId="975"/>
    <cellStyle name="Normal 4 27" xfId="976"/>
    <cellStyle name="Normal 4 28" xfId="977"/>
    <cellStyle name="Normal 4 3" xfId="978"/>
    <cellStyle name="Normal 4 4" xfId="979"/>
    <cellStyle name="Normal 4 5" xfId="980"/>
    <cellStyle name="Normal 4 6" xfId="981"/>
    <cellStyle name="Normal 4 7" xfId="982"/>
    <cellStyle name="Normal 4 8" xfId="983"/>
    <cellStyle name="Normal 4 9" xfId="984"/>
    <cellStyle name="Normal 40" xfId="985"/>
    <cellStyle name="Normal 41" xfId="986"/>
    <cellStyle name="Normal 42" xfId="987"/>
    <cellStyle name="Normal 43" xfId="63"/>
    <cellStyle name="Normal 44" xfId="1189"/>
    <cellStyle name="Normal 45" xfId="1190"/>
    <cellStyle name="Normal 46" xfId="65"/>
    <cellStyle name="Normal 5" xfId="112"/>
    <cellStyle name="Normal 5 10" xfId="988"/>
    <cellStyle name="Normal 5 11" xfId="989"/>
    <cellStyle name="Normal 5 12" xfId="990"/>
    <cellStyle name="Normal 5 13" xfId="991"/>
    <cellStyle name="Normal 5 14" xfId="992"/>
    <cellStyle name="Normal 5 15" xfId="993"/>
    <cellStyle name="Normal 5 16" xfId="994"/>
    <cellStyle name="Normal 5 17" xfId="995"/>
    <cellStyle name="Normal 5 18" xfId="996"/>
    <cellStyle name="Normal 5 19" xfId="997"/>
    <cellStyle name="Normal 5 2" xfId="113"/>
    <cellStyle name="Normal 5 20" xfId="998"/>
    <cellStyle name="Normal 5 21" xfId="999"/>
    <cellStyle name="Normal 5 22" xfId="1000"/>
    <cellStyle name="Normal 5 23" xfId="1001"/>
    <cellStyle name="Normal 5 24" xfId="1002"/>
    <cellStyle name="Normal 5 25" xfId="1003"/>
    <cellStyle name="Normal 5 26" xfId="1004"/>
    <cellStyle name="Normal 5 27" xfId="1005"/>
    <cellStyle name="Normal 5 28" xfId="1006"/>
    <cellStyle name="Normal 5 29" xfId="1007"/>
    <cellStyle name="Normal 5 3" xfId="1008"/>
    <cellStyle name="Normal 5 4" xfId="1009"/>
    <cellStyle name="Normal 5 5" xfId="1010"/>
    <cellStyle name="Normal 5 6" xfId="1011"/>
    <cellStyle name="Normal 5 7" xfId="1012"/>
    <cellStyle name="Normal 5 8" xfId="1013"/>
    <cellStyle name="Normal 5 9" xfId="1014"/>
    <cellStyle name="Normal 5_2009-10 Budget Template" xfId="114"/>
    <cellStyle name="Normal 6" xfId="115"/>
    <cellStyle name="Normal 6 2" xfId="1187"/>
    <cellStyle name="Normal 7" xfId="64"/>
    <cellStyle name="Normal 7 10" xfId="1015"/>
    <cellStyle name="Normal 7 11" xfId="1016"/>
    <cellStyle name="Normal 7 12" xfId="1017"/>
    <cellStyle name="Normal 7 13" xfId="1018"/>
    <cellStyle name="Normal 7 14" xfId="1019"/>
    <cellStyle name="Normal 7 15" xfId="1020"/>
    <cellStyle name="Normal 7 16" xfId="1021"/>
    <cellStyle name="Normal 7 17" xfId="1022"/>
    <cellStyle name="Normal 7 18" xfId="1023"/>
    <cellStyle name="Normal 7 19" xfId="1024"/>
    <cellStyle name="Normal 7 2" xfId="1025"/>
    <cellStyle name="Normal 7 20" xfId="1026"/>
    <cellStyle name="Normal 7 21" xfId="1027"/>
    <cellStyle name="Normal 7 22" xfId="1028"/>
    <cellStyle name="Normal 7 23" xfId="1029"/>
    <cellStyle name="Normal 7 24" xfId="1030"/>
    <cellStyle name="Normal 7 25" xfId="1031"/>
    <cellStyle name="Normal 7 26" xfId="1032"/>
    <cellStyle name="Normal 7 27" xfId="1033"/>
    <cellStyle name="Normal 7 28" xfId="1034"/>
    <cellStyle name="Normal 7 3" xfId="1035"/>
    <cellStyle name="Normal 7 4" xfId="1036"/>
    <cellStyle name="Normal 7 5" xfId="1037"/>
    <cellStyle name="Normal 7 6" xfId="1038"/>
    <cellStyle name="Normal 7 7" xfId="1039"/>
    <cellStyle name="Normal 7 8" xfId="1040"/>
    <cellStyle name="Normal 7 9" xfId="1041"/>
    <cellStyle name="Normal 8" xfId="116"/>
    <cellStyle name="Normal 8 10" xfId="1042"/>
    <cellStyle name="Normal 8 11" xfId="1043"/>
    <cellStyle name="Normal 8 12" xfId="1044"/>
    <cellStyle name="Normal 8 13" xfId="1045"/>
    <cellStyle name="Normal 8 14" xfId="1046"/>
    <cellStyle name="Normal 8 15" xfId="1047"/>
    <cellStyle name="Normal 8 16" xfId="1048"/>
    <cellStyle name="Normal 8 17" xfId="1049"/>
    <cellStyle name="Normal 8 18" xfId="1050"/>
    <cellStyle name="Normal 8 19" xfId="1051"/>
    <cellStyle name="Normal 8 2" xfId="1052"/>
    <cellStyle name="Normal 8 20" xfId="1053"/>
    <cellStyle name="Normal 8 21" xfId="1054"/>
    <cellStyle name="Normal 8 22" xfId="1055"/>
    <cellStyle name="Normal 8 23" xfId="1056"/>
    <cellStyle name="Normal 8 24" xfId="1057"/>
    <cellStyle name="Normal 8 25" xfId="1058"/>
    <cellStyle name="Normal 8 26" xfId="1059"/>
    <cellStyle name="Normal 8 27" xfId="1060"/>
    <cellStyle name="Normal 8 28" xfId="1061"/>
    <cellStyle name="Normal 8 3" xfId="1062"/>
    <cellStyle name="Normal 8 4" xfId="1063"/>
    <cellStyle name="Normal 8 5" xfId="1064"/>
    <cellStyle name="Normal 8 6" xfId="1065"/>
    <cellStyle name="Normal 8 7" xfId="1066"/>
    <cellStyle name="Normal 8 8" xfId="1067"/>
    <cellStyle name="Normal 8 9" xfId="1068"/>
    <cellStyle name="Normal 8_ORTHOPAEDICS - 2010-11 Budget Template" xfId="1069"/>
    <cellStyle name="Normal 9" xfId="117"/>
    <cellStyle name="Normal 9 10" xfId="1070"/>
    <cellStyle name="Normal 9 11" xfId="1071"/>
    <cellStyle name="Normal 9 12" xfId="1072"/>
    <cellStyle name="Normal 9 13" xfId="1073"/>
    <cellStyle name="Normal 9 14" xfId="1074"/>
    <cellStyle name="Normal 9 15" xfId="1075"/>
    <cellStyle name="Normal 9 16" xfId="1076"/>
    <cellStyle name="Normal 9 17" xfId="1077"/>
    <cellStyle name="Normal 9 18" xfId="1078"/>
    <cellStyle name="Normal 9 19" xfId="1079"/>
    <cellStyle name="Normal 9 2" xfId="1080"/>
    <cellStyle name="Normal 9 20" xfId="1081"/>
    <cellStyle name="Normal 9 21" xfId="1082"/>
    <cellStyle name="Normal 9 22" xfId="1083"/>
    <cellStyle name="Normal 9 23" xfId="1084"/>
    <cellStyle name="Normal 9 24" xfId="1085"/>
    <cellStyle name="Normal 9 25" xfId="1086"/>
    <cellStyle name="Normal 9 26" xfId="1087"/>
    <cellStyle name="Normal 9 27" xfId="1088"/>
    <cellStyle name="Normal 9 28" xfId="1089"/>
    <cellStyle name="Normal 9 29" xfId="1186"/>
    <cellStyle name="Normal 9 3" xfId="1090"/>
    <cellStyle name="Normal 9 4" xfId="1091"/>
    <cellStyle name="Normal 9 5" xfId="1092"/>
    <cellStyle name="Normal 9 6" xfId="1093"/>
    <cellStyle name="Normal 9 7" xfId="1094"/>
    <cellStyle name="Normal 9 8" xfId="1095"/>
    <cellStyle name="Normal 9 9" xfId="1096"/>
    <cellStyle name="Normal 9_ORTHOPAEDICS - 2010-11 Budget Template" xfId="1097"/>
    <cellStyle name="Note 10" xfId="1098"/>
    <cellStyle name="Note 11" xfId="1099"/>
    <cellStyle name="Note 12" xfId="1100"/>
    <cellStyle name="Note 13" xfId="1101"/>
    <cellStyle name="Note 14" xfId="1102"/>
    <cellStyle name="Note 15" xfId="1103"/>
    <cellStyle name="Note 16" xfId="1104"/>
    <cellStyle name="Note 17" xfId="118"/>
    <cellStyle name="Note 2" xfId="1105"/>
    <cellStyle name="Note 3" xfId="1106"/>
    <cellStyle name="Note 4" xfId="1107"/>
    <cellStyle name="Note 5" xfId="1108"/>
    <cellStyle name="Note 6" xfId="1109"/>
    <cellStyle name="Note 7" xfId="1110"/>
    <cellStyle name="Note 8" xfId="1111"/>
    <cellStyle name="Note 9" xfId="1112"/>
    <cellStyle name="Output 10" xfId="1113"/>
    <cellStyle name="Output 11" xfId="1114"/>
    <cellStyle name="Output 12" xfId="1115"/>
    <cellStyle name="Output 13" xfId="1116"/>
    <cellStyle name="Output 14" xfId="1117"/>
    <cellStyle name="Output 15" xfId="1118"/>
    <cellStyle name="Output 16" xfId="1119"/>
    <cellStyle name="Output 17" xfId="119"/>
    <cellStyle name="Output 2" xfId="1120"/>
    <cellStyle name="Output 3" xfId="1121"/>
    <cellStyle name="Output 4" xfId="1122"/>
    <cellStyle name="Output 5" xfId="1123"/>
    <cellStyle name="Output 6" xfId="1124"/>
    <cellStyle name="Output 7" xfId="1125"/>
    <cellStyle name="Output 8" xfId="1126"/>
    <cellStyle name="Output 9" xfId="1127"/>
    <cellStyle name="Percent 2" xfId="120"/>
    <cellStyle name="Percent 3" xfId="121"/>
    <cellStyle name="Percent 3 2" xfId="122"/>
    <cellStyle name="Percent 4" xfId="1128"/>
    <cellStyle name="Percent 5" xfId="1129"/>
    <cellStyle name="Percent 6" xfId="1180"/>
    <cellStyle name="Percent 7" xfId="1185"/>
    <cellStyle name="Percent 8" xfId="1177"/>
    <cellStyle name="Title 10" xfId="1130"/>
    <cellStyle name="Title 11" xfId="1131"/>
    <cellStyle name="Title 12" xfId="1132"/>
    <cellStyle name="Title 13" xfId="1133"/>
    <cellStyle name="Title 14" xfId="1134"/>
    <cellStyle name="Title 15" xfId="1135"/>
    <cellStyle name="Title 16" xfId="1136"/>
    <cellStyle name="Title 17" xfId="123"/>
    <cellStyle name="Title 2" xfId="1137"/>
    <cellStyle name="Title 3" xfId="1138"/>
    <cellStyle name="Title 4" xfId="1139"/>
    <cellStyle name="Title 5" xfId="1140"/>
    <cellStyle name="Title 6" xfId="1141"/>
    <cellStyle name="Title 7" xfId="1142"/>
    <cellStyle name="Title 8" xfId="1143"/>
    <cellStyle name="Title 9" xfId="1144"/>
    <cellStyle name="Total 10" xfId="1145"/>
    <cellStyle name="Total 11" xfId="1146"/>
    <cellStyle name="Total 12" xfId="1147"/>
    <cellStyle name="Total 13" xfId="1148"/>
    <cellStyle name="Total 14" xfId="1149"/>
    <cellStyle name="Total 15" xfId="1150"/>
    <cellStyle name="Total 16" xfId="1151"/>
    <cellStyle name="Total 17" xfId="124"/>
    <cellStyle name="Total 2" xfId="1152"/>
    <cellStyle name="Total 3" xfId="1153"/>
    <cellStyle name="Total 4" xfId="1154"/>
    <cellStyle name="Total 5" xfId="1155"/>
    <cellStyle name="Total 6" xfId="1156"/>
    <cellStyle name="Total 7" xfId="1157"/>
    <cellStyle name="Total 8" xfId="1158"/>
    <cellStyle name="Total 9" xfId="1159"/>
    <cellStyle name="Warning Text 10" xfId="1160"/>
    <cellStyle name="Warning Text 11" xfId="1161"/>
    <cellStyle name="Warning Text 12" xfId="1162"/>
    <cellStyle name="Warning Text 13" xfId="1163"/>
    <cellStyle name="Warning Text 14" xfId="1164"/>
    <cellStyle name="Warning Text 15" xfId="1165"/>
    <cellStyle name="Warning Text 16" xfId="1166"/>
    <cellStyle name="Warning Text 17" xfId="125"/>
    <cellStyle name="Warning Text 2" xfId="1167"/>
    <cellStyle name="Warning Text 3" xfId="1168"/>
    <cellStyle name="Warning Text 4" xfId="1169"/>
    <cellStyle name="Warning Text 5" xfId="1170"/>
    <cellStyle name="Warning Text 6" xfId="1171"/>
    <cellStyle name="Warning Text 7" xfId="1172"/>
    <cellStyle name="Warning Text 8" xfId="1173"/>
    <cellStyle name="Warning Text 9" xfId="1174"/>
  </cellStyles>
  <dxfs count="0"/>
  <tableStyles count="0" defaultTableStyle="TableStyleMedium9" defaultPivotStyle="PivotStyleLight16"/>
  <colors>
    <mruColors>
      <color rgb="FFFFFF66"/>
      <color rgb="FFFFFF99"/>
      <color rgb="FFFFFFCC"/>
      <color rgb="FFCCFFCC"/>
      <color rgb="FFDDDDDD"/>
      <color rgb="FFB1CF51"/>
      <color rgb="FFB2B2B2"/>
      <color rgb="FFBACE8C"/>
      <color rgb="FFCCECFF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iverac/AppData/Local/Microsoft/Windows/Temporary%20Internet%20Files/Content.Outlook/9JD29C7X/FY2018-2019%20submission-communic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iverac/Box/HDAR%20share%20drive%20files/Budget/FY2018-2019/FY2018-2019%20submission%200525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USF Health Dev Summary "/>
      <sheetName val="AVP  Health"/>
      <sheetName val="Principal Gifts"/>
      <sheetName val="Major Gift"/>
      <sheetName val="Communications"/>
      <sheetName val="Stewardship "/>
      <sheetName val="Annual Giving"/>
      <sheetName val="COM Alumni "/>
      <sheetName val="CON"/>
      <sheetName val="Pharmacy"/>
      <sheetName val="Fnd Sub"/>
      <sheetName val="State Sub"/>
      <sheetName val="Sponsorships"/>
    </sheetNames>
    <sheetDataSet>
      <sheetData sheetId="0">
        <row r="37">
          <cell r="A37" t="str">
            <v>Miscellaneous Fees</v>
          </cell>
        </row>
        <row r="38">
          <cell r="A38" t="str">
            <v>Other Expense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F Health Dev Summary "/>
      <sheetName val="AVP  Health"/>
      <sheetName val="Principal Gifts"/>
      <sheetName val="Major Gift"/>
      <sheetName val="Communications"/>
      <sheetName val="Stewardship "/>
      <sheetName val="Annual Giving"/>
      <sheetName val="COM Alumni "/>
      <sheetName val="CON"/>
      <sheetName val="Pharmacy"/>
      <sheetName val="Fnd Sub"/>
      <sheetName val="State Sub"/>
      <sheetName val="Sponsorships"/>
      <sheetName val="Sheet1"/>
    </sheetNames>
    <sheetDataSet>
      <sheetData sheetId="0" refreshError="1"/>
      <sheetData sheetId="1" refreshError="1">
        <row r="38">
          <cell r="A38" t="str">
            <v>Community Relations</v>
          </cell>
        </row>
        <row r="39">
          <cell r="A39" t="str">
            <v xml:space="preserve">Moving Expenses 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T114"/>
  <sheetViews>
    <sheetView zoomScaleNormal="100" zoomScalePageLayoutView="115" workbookViewId="0">
      <selection activeCell="K41" sqref="K41"/>
    </sheetView>
  </sheetViews>
  <sheetFormatPr defaultColWidth="8.7109375" defaultRowHeight="12"/>
  <cols>
    <col min="1" max="1" width="28.85546875" style="305" bestFit="1" customWidth="1"/>
    <col min="2" max="2" width="10.140625" style="598" customWidth="1"/>
    <col min="3" max="3" width="12" style="598" customWidth="1"/>
    <col min="4" max="4" width="10.140625" style="598" bestFit="1" customWidth="1"/>
    <col min="5" max="5" width="11.42578125" style="598" customWidth="1"/>
    <col min="6" max="6" width="11.85546875" style="402" customWidth="1"/>
    <col min="7" max="7" width="14.42578125" style="402" customWidth="1"/>
    <col min="8" max="8" width="12.85546875" style="402" customWidth="1"/>
    <col min="9" max="9" width="11.85546875" style="402" customWidth="1"/>
    <col min="10" max="10" width="12.140625" style="402" customWidth="1"/>
    <col min="11" max="11" width="12.42578125" style="434" customWidth="1"/>
    <col min="12" max="13" width="9.5703125" style="434" customWidth="1"/>
    <col min="14" max="14" width="10.7109375" style="402" customWidth="1"/>
    <col min="15" max="15" width="9.85546875" style="346" bestFit="1" customWidth="1"/>
    <col min="16" max="16" width="17.7109375" style="476" bestFit="1" customWidth="1"/>
    <col min="17" max="17" width="4" style="305" bestFit="1" customWidth="1"/>
    <col min="18" max="18" width="13.42578125" style="305" customWidth="1"/>
    <col min="19" max="19" width="13.5703125" style="305" customWidth="1"/>
    <col min="20" max="20" width="9.28515625" style="305" bestFit="1" customWidth="1"/>
    <col min="21" max="16384" width="8.7109375" style="305"/>
  </cols>
  <sheetData>
    <row r="1" spans="1:20" s="293" customFormat="1" ht="36">
      <c r="A1" s="851" t="s">
        <v>251</v>
      </c>
      <c r="B1" s="622" t="s">
        <v>121</v>
      </c>
      <c r="C1" s="622" t="s">
        <v>334</v>
      </c>
      <c r="D1" s="622" t="s">
        <v>368</v>
      </c>
      <c r="E1" s="819" t="s">
        <v>369</v>
      </c>
      <c r="F1" s="332" t="s">
        <v>58</v>
      </c>
      <c r="G1" s="622" t="s">
        <v>273</v>
      </c>
      <c r="H1" s="332" t="s">
        <v>76</v>
      </c>
      <c r="I1" s="332" t="s">
        <v>367</v>
      </c>
      <c r="J1" s="622" t="s">
        <v>117</v>
      </c>
      <c r="K1" s="332" t="s">
        <v>101</v>
      </c>
      <c r="L1" s="622" t="s">
        <v>62</v>
      </c>
      <c r="M1" s="822" t="s">
        <v>63</v>
      </c>
      <c r="N1" s="819" t="s">
        <v>277</v>
      </c>
      <c r="O1" s="333"/>
      <c r="P1" s="473"/>
    </row>
    <row r="2" spans="1:20" s="295" customFormat="1" ht="20.25" customHeight="1">
      <c r="A2" s="294" t="s">
        <v>95</v>
      </c>
      <c r="B2" s="417">
        <v>36547</v>
      </c>
      <c r="C2" s="417">
        <f>36547+24972</f>
        <v>61519</v>
      </c>
      <c r="D2" s="417">
        <v>43440</v>
      </c>
      <c r="E2" s="417"/>
      <c r="F2" s="334">
        <f>'AVP  Health'!R183</f>
        <v>39638</v>
      </c>
      <c r="G2" s="417">
        <f>'Principal &amp; Major'!P82</f>
        <v>530</v>
      </c>
      <c r="H2" s="334">
        <f>Communications!AH42</f>
        <v>1319</v>
      </c>
      <c r="I2" s="334"/>
      <c r="J2" s="417">
        <f>'Annual Giving'!AV44</f>
        <v>2032.96</v>
      </c>
      <c r="K2" s="454"/>
      <c r="L2" s="417"/>
      <c r="M2" s="682"/>
      <c r="N2" s="417">
        <f>SUM(F2:M2)</f>
        <v>43519.96</v>
      </c>
      <c r="O2" s="335"/>
      <c r="P2" s="584"/>
      <c r="R2" s="809"/>
    </row>
    <row r="3" spans="1:20" s="295" customFormat="1" ht="24">
      <c r="A3" s="296" t="s">
        <v>253</v>
      </c>
      <c r="B3" s="372">
        <v>139000</v>
      </c>
      <c r="C3" s="372">
        <v>126089</v>
      </c>
      <c r="D3" s="372">
        <v>156298</v>
      </c>
      <c r="E3" s="372"/>
      <c r="F3" s="336">
        <f>'AVP  Health'!Z183</f>
        <v>151221.21999999997</v>
      </c>
      <c r="G3" s="441"/>
      <c r="H3" s="336">
        <f>Communications!AB42</f>
        <v>1520</v>
      </c>
      <c r="I3" s="336">
        <f>'Community Rel and Philanthropy'!AH44</f>
        <v>2200</v>
      </c>
      <c r="J3" s="372">
        <f>'Annual Giving'!AT44</f>
        <v>1500</v>
      </c>
      <c r="K3" s="336"/>
      <c r="L3" s="372"/>
      <c r="M3" s="852"/>
      <c r="N3" s="372">
        <f t="shared" ref="N3:N16" si="0">SUM(F3:M3)</f>
        <v>156441.21999999997</v>
      </c>
      <c r="O3" s="335"/>
      <c r="P3" s="317"/>
      <c r="R3" s="809"/>
    </row>
    <row r="4" spans="1:20" s="295" customFormat="1" ht="24" hidden="1">
      <c r="A4" s="398" t="s">
        <v>108</v>
      </c>
      <c r="B4" s="397"/>
      <c r="C4" s="397"/>
      <c r="D4" s="397"/>
      <c r="E4" s="397"/>
      <c r="F4" s="401"/>
      <c r="G4" s="401"/>
      <c r="H4" s="397"/>
      <c r="I4" s="397"/>
      <c r="J4" s="397"/>
      <c r="K4" s="397"/>
      <c r="L4" s="397"/>
      <c r="M4" s="853"/>
      <c r="N4" s="417">
        <f t="shared" si="0"/>
        <v>0</v>
      </c>
      <c r="O4" s="335"/>
      <c r="P4" s="317"/>
      <c r="R4" s="809"/>
    </row>
    <row r="5" spans="1:20" s="295" customFormat="1">
      <c r="A5" s="297" t="s">
        <v>96</v>
      </c>
      <c r="B5" s="373">
        <v>93170</v>
      </c>
      <c r="C5" s="373">
        <v>95000</v>
      </c>
      <c r="D5" s="373">
        <v>96855</v>
      </c>
      <c r="E5" s="373"/>
      <c r="F5" s="337">
        <f>'AVP  Health'!T183</f>
        <v>36706.550000000003</v>
      </c>
      <c r="G5" s="720">
        <f>'Principal &amp; Major'!V83</f>
        <v>30125.75</v>
      </c>
      <c r="H5" s="337"/>
      <c r="I5" s="337">
        <f>'Community Rel and Philanthropy'!AB44</f>
        <v>9659.1</v>
      </c>
      <c r="J5" s="373">
        <f>'Annual Giving'!AJ44</f>
        <v>20897.12</v>
      </c>
      <c r="K5" s="337">
        <f>'COM Alumni '!AB93</f>
        <v>201.35</v>
      </c>
      <c r="L5" s="373"/>
      <c r="M5" s="854"/>
      <c r="N5" s="373">
        <f>SUM(F5:K5)</f>
        <v>97589.87000000001</v>
      </c>
      <c r="O5" s="335"/>
      <c r="P5" s="317"/>
      <c r="R5" s="809"/>
      <c r="T5" s="335"/>
    </row>
    <row r="6" spans="1:20" s="295" customFormat="1" hidden="1">
      <c r="A6" s="455" t="s">
        <v>132</v>
      </c>
      <c r="B6" s="456">
        <v>1205</v>
      </c>
      <c r="C6" s="456"/>
      <c r="D6" s="456"/>
      <c r="E6" s="456"/>
      <c r="F6" s="456"/>
      <c r="G6" s="455"/>
      <c r="H6" s="455"/>
      <c r="I6" s="455"/>
      <c r="J6" s="455"/>
      <c r="K6" s="455"/>
      <c r="L6" s="455"/>
      <c r="M6" s="855"/>
      <c r="N6" s="417">
        <f t="shared" si="0"/>
        <v>0</v>
      </c>
      <c r="O6" s="335"/>
      <c r="P6" s="317"/>
      <c r="R6" s="809"/>
    </row>
    <row r="7" spans="1:20" s="295" customFormat="1">
      <c r="A7" s="566" t="s">
        <v>223</v>
      </c>
      <c r="B7" s="597">
        <v>200000</v>
      </c>
      <c r="C7" s="642">
        <f>176107+200000</f>
        <v>376107</v>
      </c>
      <c r="D7" s="642">
        <f>398609-D8</f>
        <v>341112.45</v>
      </c>
      <c r="E7" s="642"/>
      <c r="F7" s="642">
        <f>'AVP  Health'!V183</f>
        <v>7016.79</v>
      </c>
      <c r="G7" s="642">
        <f>'Principal &amp; Major'!R83</f>
        <v>9215.630000000001</v>
      </c>
      <c r="H7" s="642">
        <f>Communications!Z42</f>
        <v>9415</v>
      </c>
      <c r="I7" s="642">
        <f>'Community Rel and Philanthropy'!AF44</f>
        <v>241284</v>
      </c>
      <c r="J7" s="642">
        <f>'Annual Giving'!AP44</f>
        <v>20494.5</v>
      </c>
      <c r="K7" s="642">
        <f>'COM Alumni '!T93</f>
        <v>21966</v>
      </c>
      <c r="L7" s="642"/>
      <c r="M7" s="856"/>
      <c r="N7" s="642">
        <f>SUM(F7:M7)</f>
        <v>309391.92</v>
      </c>
      <c r="O7" s="335"/>
      <c r="P7" s="738" t="s">
        <v>371</v>
      </c>
      <c r="R7" s="809"/>
    </row>
    <row r="8" spans="1:20" s="295" customFormat="1">
      <c r="A8" s="359" t="s">
        <v>224</v>
      </c>
      <c r="B8" s="374">
        <v>71000</v>
      </c>
      <c r="C8" s="374">
        <v>95000</v>
      </c>
      <c r="D8" s="374">
        <f>N8</f>
        <v>57496.549999999996</v>
      </c>
      <c r="E8" s="374"/>
      <c r="F8" s="338">
        <f>'AVP  Health'!X183</f>
        <v>11500</v>
      </c>
      <c r="G8" s="374">
        <f>'Principal &amp; Major'!T83</f>
        <v>8146.1</v>
      </c>
      <c r="H8" s="338">
        <f>Communications!AD42</f>
        <v>10792.029999999999</v>
      </c>
      <c r="I8" s="338">
        <f>'Community Rel and Philanthropy'!AD44</f>
        <v>2053.4899999999998</v>
      </c>
      <c r="J8" s="374">
        <f>'Annual Giving'!AL44</f>
        <v>17478.620000000003</v>
      </c>
      <c r="K8" s="338">
        <f>'COM Alumni '!V93</f>
        <v>7526.3099999999995</v>
      </c>
      <c r="L8" s="374"/>
      <c r="M8" s="857"/>
      <c r="N8" s="374">
        <f>SUM(F8:K8)</f>
        <v>57496.549999999996</v>
      </c>
      <c r="O8" s="335"/>
      <c r="P8" s="474">
        <f>N7+N8</f>
        <v>366888.47</v>
      </c>
      <c r="R8" s="809"/>
    </row>
    <row r="9" spans="1:20" s="295" customFormat="1" ht="12.75" customHeight="1">
      <c r="A9" s="360" t="s">
        <v>28</v>
      </c>
      <c r="B9" s="375"/>
      <c r="C9" s="375"/>
      <c r="D9" s="699">
        <f>SUM(D2:D8)</f>
        <v>695202</v>
      </c>
      <c r="E9" s="699"/>
      <c r="F9" s="361">
        <f t="shared" ref="F9:K9" si="1">SUM(F2:F8)</f>
        <v>246082.55999999997</v>
      </c>
      <c r="G9" s="361">
        <f t="shared" si="1"/>
        <v>48017.48</v>
      </c>
      <c r="H9" s="361">
        <f t="shared" si="1"/>
        <v>23046.03</v>
      </c>
      <c r="I9" s="361">
        <f t="shared" si="1"/>
        <v>255196.59</v>
      </c>
      <c r="J9" s="361">
        <f>SUM(J2:J8)</f>
        <v>62403.200000000004</v>
      </c>
      <c r="K9" s="361">
        <f t="shared" si="1"/>
        <v>29693.659999999996</v>
      </c>
      <c r="L9" s="361"/>
      <c r="M9" s="858"/>
      <c r="N9" s="375">
        <f t="shared" si="0"/>
        <v>664439.5199999999</v>
      </c>
      <c r="O9" s="335"/>
      <c r="P9" s="325"/>
      <c r="R9" s="809"/>
    </row>
    <row r="10" spans="1:20" s="295" customFormat="1">
      <c r="A10" s="478" t="s">
        <v>97</v>
      </c>
      <c r="B10" s="479">
        <v>23375</v>
      </c>
      <c r="C10" s="479">
        <v>23375</v>
      </c>
      <c r="D10" s="479">
        <v>23375</v>
      </c>
      <c r="E10" s="479"/>
      <c r="F10" s="480">
        <f>'AVP  Health'!AB90</f>
        <v>1500</v>
      </c>
      <c r="G10" s="479"/>
      <c r="H10" s="480">
        <f>Communications!AF42</f>
        <v>580</v>
      </c>
      <c r="I10" s="480"/>
      <c r="J10" s="479">
        <f>'Annual Giving'!AR44</f>
        <v>2500</v>
      </c>
      <c r="K10" s="480">
        <f>'COM Alumni '!R93</f>
        <v>18680</v>
      </c>
      <c r="L10" s="479"/>
      <c r="M10" s="859"/>
      <c r="N10" s="479">
        <f t="shared" si="0"/>
        <v>23260</v>
      </c>
      <c r="O10" s="335"/>
      <c r="P10" s="474"/>
      <c r="R10" s="809"/>
      <c r="S10" s="335"/>
    </row>
    <row r="11" spans="1:20" s="295" customFormat="1">
      <c r="A11" s="363" t="s">
        <v>62</v>
      </c>
      <c r="B11" s="378"/>
      <c r="C11" s="378"/>
      <c r="D11" s="378"/>
      <c r="E11" s="378"/>
      <c r="F11" s="364"/>
      <c r="G11" s="420"/>
      <c r="H11" s="364"/>
      <c r="I11" s="364"/>
      <c r="J11" s="420"/>
      <c r="K11" s="364"/>
      <c r="L11" s="420">
        <f>'CON '!AB37</f>
        <v>37855.240000000005</v>
      </c>
      <c r="M11" s="860"/>
      <c r="N11" s="420">
        <f t="shared" si="0"/>
        <v>37855.240000000005</v>
      </c>
      <c r="O11" s="335"/>
      <c r="P11" s="317"/>
    </row>
    <row r="12" spans="1:20" s="295" customFormat="1">
      <c r="A12" s="300" t="s">
        <v>63</v>
      </c>
      <c r="B12" s="379"/>
      <c r="C12" s="379"/>
      <c r="D12" s="379"/>
      <c r="E12" s="379"/>
      <c r="F12" s="342"/>
      <c r="G12" s="421"/>
      <c r="H12" s="342"/>
      <c r="I12" s="342"/>
      <c r="J12" s="421"/>
      <c r="K12" s="342"/>
      <c r="L12" s="421"/>
      <c r="M12" s="824">
        <f>COP!V43</f>
        <v>19438.750000000004</v>
      </c>
      <c r="N12" s="727">
        <f t="shared" si="0"/>
        <v>19438.750000000004</v>
      </c>
      <c r="O12" s="335"/>
      <c r="P12" s="317"/>
      <c r="R12" s="335"/>
      <c r="S12" s="335"/>
    </row>
    <row r="13" spans="1:20" s="295" customFormat="1" hidden="1">
      <c r="A13" s="298" t="s">
        <v>60</v>
      </c>
      <c r="B13" s="376"/>
      <c r="C13" s="376"/>
      <c r="D13" s="376"/>
      <c r="E13" s="376"/>
      <c r="F13" s="340"/>
      <c r="G13" s="418"/>
      <c r="H13" s="340"/>
      <c r="I13" s="340"/>
      <c r="J13" s="418"/>
      <c r="K13" s="340"/>
      <c r="L13" s="418"/>
      <c r="M13" s="861"/>
      <c r="N13" s="417">
        <f t="shared" si="0"/>
        <v>0</v>
      </c>
      <c r="O13" s="335"/>
      <c r="P13" s="317"/>
    </row>
    <row r="14" spans="1:20" s="295" customFormat="1" hidden="1">
      <c r="A14" s="299" t="s">
        <v>61</v>
      </c>
      <c r="B14" s="377"/>
      <c r="C14" s="377"/>
      <c r="D14" s="377"/>
      <c r="E14" s="377"/>
      <c r="F14" s="341"/>
      <c r="G14" s="419"/>
      <c r="H14" s="341"/>
      <c r="I14" s="341"/>
      <c r="J14" s="419"/>
      <c r="K14" s="341"/>
      <c r="L14" s="419"/>
      <c r="M14" s="862"/>
      <c r="N14" s="417">
        <f t="shared" si="0"/>
        <v>0</v>
      </c>
      <c r="O14" s="335"/>
      <c r="P14" s="317"/>
    </row>
    <row r="15" spans="1:20" s="295" customFormat="1" hidden="1">
      <c r="A15" s="301" t="s">
        <v>64</v>
      </c>
      <c r="B15" s="380"/>
      <c r="C15" s="380"/>
      <c r="D15" s="380"/>
      <c r="E15" s="380"/>
      <c r="F15" s="343"/>
      <c r="G15" s="422"/>
      <c r="H15" s="343"/>
      <c r="I15" s="343"/>
      <c r="J15" s="422"/>
      <c r="K15" s="343"/>
      <c r="L15" s="422"/>
      <c r="M15" s="863"/>
      <c r="N15" s="417">
        <f t="shared" si="0"/>
        <v>0</v>
      </c>
      <c r="O15" s="335"/>
      <c r="P15" s="317"/>
    </row>
    <row r="16" spans="1:20" s="295" customFormat="1">
      <c r="A16" s="302" t="s">
        <v>28</v>
      </c>
      <c r="B16" s="381"/>
      <c r="C16" s="381"/>
      <c r="D16" s="381">
        <f>SUM(D10:D15)</f>
        <v>23375</v>
      </c>
      <c r="E16" s="381"/>
      <c r="F16" s="344">
        <f t="shared" ref="F16:M16" si="2">SUM(F10:F15)</f>
        <v>1500</v>
      </c>
      <c r="G16" s="344">
        <f t="shared" si="2"/>
        <v>0</v>
      </c>
      <c r="H16" s="344">
        <f t="shared" si="2"/>
        <v>580</v>
      </c>
      <c r="I16" s="344">
        <f t="shared" si="2"/>
        <v>0</v>
      </c>
      <c r="J16" s="344">
        <f t="shared" si="2"/>
        <v>2500</v>
      </c>
      <c r="K16" s="344">
        <f t="shared" si="2"/>
        <v>18680</v>
      </c>
      <c r="L16" s="344">
        <f t="shared" si="2"/>
        <v>37855.240000000005</v>
      </c>
      <c r="M16" s="864">
        <f t="shared" si="2"/>
        <v>19438.750000000004</v>
      </c>
      <c r="N16" s="693">
        <f t="shared" si="0"/>
        <v>80553.990000000005</v>
      </c>
      <c r="O16" s="335"/>
      <c r="P16" s="317"/>
    </row>
    <row r="17" spans="1:18" s="304" customFormat="1">
      <c r="A17" s="303" t="s">
        <v>59</v>
      </c>
      <c r="B17" s="382"/>
      <c r="C17" s="382"/>
      <c r="D17" s="382">
        <f>D9+D16</f>
        <v>718577</v>
      </c>
      <c r="E17" s="382"/>
      <c r="F17" s="339">
        <f t="shared" ref="F17:M17" si="3">F9+F16</f>
        <v>247582.55999999997</v>
      </c>
      <c r="G17" s="339">
        <f t="shared" si="3"/>
        <v>48017.48</v>
      </c>
      <c r="H17" s="339">
        <f t="shared" si="3"/>
        <v>23626.03</v>
      </c>
      <c r="I17" s="339">
        <f t="shared" si="3"/>
        <v>255196.59</v>
      </c>
      <c r="J17" s="339">
        <f t="shared" si="3"/>
        <v>64903.200000000004</v>
      </c>
      <c r="K17" s="339">
        <f t="shared" si="3"/>
        <v>48373.659999999996</v>
      </c>
      <c r="L17" s="339">
        <f t="shared" si="3"/>
        <v>37855.240000000005</v>
      </c>
      <c r="M17" s="865">
        <f t="shared" si="3"/>
        <v>19438.750000000004</v>
      </c>
      <c r="N17" s="694">
        <f>SUM(F17:M17)</f>
        <v>744993.50999999989</v>
      </c>
      <c r="O17" s="335"/>
      <c r="P17" s="475"/>
    </row>
    <row r="18" spans="1:18">
      <c r="K18" s="402"/>
      <c r="L18" s="402"/>
      <c r="M18" s="402"/>
      <c r="N18" s="606"/>
      <c r="R18" s="729"/>
    </row>
    <row r="19" spans="1:18" s="304" customFormat="1" ht="38.25" customHeight="1">
      <c r="A19" s="851" t="s">
        <v>252</v>
      </c>
      <c r="B19" s="622" t="s">
        <v>121</v>
      </c>
      <c r="C19" s="622" t="s">
        <v>358</v>
      </c>
      <c r="D19" s="819" t="s">
        <v>368</v>
      </c>
      <c r="E19" s="819"/>
      <c r="F19" s="332" t="s">
        <v>65</v>
      </c>
      <c r="G19" s="622" t="s">
        <v>115</v>
      </c>
      <c r="H19" s="332" t="s">
        <v>116</v>
      </c>
      <c r="I19" s="332" t="s">
        <v>367</v>
      </c>
      <c r="J19" s="622" t="s">
        <v>118</v>
      </c>
      <c r="K19" s="332" t="s">
        <v>110</v>
      </c>
      <c r="L19" s="622" t="s">
        <v>62</v>
      </c>
      <c r="M19" s="822" t="s">
        <v>63</v>
      </c>
      <c r="N19" s="819" t="s">
        <v>283</v>
      </c>
      <c r="O19" s="345"/>
      <c r="P19" s="475"/>
      <c r="R19" s="345"/>
    </row>
    <row r="20" spans="1:18">
      <c r="A20" s="306" t="s">
        <v>43</v>
      </c>
      <c r="B20" s="599">
        <f>B2</f>
        <v>36547</v>
      </c>
      <c r="C20" s="599">
        <f>C2</f>
        <v>61519</v>
      </c>
      <c r="D20" s="599"/>
      <c r="E20" s="599"/>
      <c r="F20" s="404">
        <f>'AVP  Health'!S90</f>
        <v>-22431.219999999998</v>
      </c>
      <c r="G20" s="423">
        <f>'Principal &amp; Major'!Q82</f>
        <v>-529.96</v>
      </c>
      <c r="H20" s="404"/>
      <c r="I20" s="404"/>
      <c r="J20" s="423"/>
      <c r="K20" s="404"/>
      <c r="L20" s="423"/>
      <c r="M20" s="683"/>
      <c r="N20" s="423">
        <f t="shared" ref="N20:N35" si="4">SUM(F20:M20)</f>
        <v>-22961.179999999997</v>
      </c>
      <c r="O20" s="295"/>
    </row>
    <row r="21" spans="1:18">
      <c r="A21" s="307" t="s">
        <v>1</v>
      </c>
      <c r="B21" s="600">
        <f>B3</f>
        <v>139000</v>
      </c>
      <c r="C21" s="600">
        <f>C3</f>
        <v>126089</v>
      </c>
      <c r="D21" s="600"/>
      <c r="E21" s="600"/>
      <c r="F21" s="453">
        <f>'AVP  Health'!AA90</f>
        <v>-103867.41000000002</v>
      </c>
      <c r="G21" s="405"/>
      <c r="H21" s="405">
        <f>Communications!AC42</f>
        <v>-863.13</v>
      </c>
      <c r="I21" s="424"/>
      <c r="J21" s="425"/>
      <c r="K21" s="424"/>
      <c r="L21" s="425"/>
      <c r="M21" s="684"/>
      <c r="N21" s="425">
        <f t="shared" si="4"/>
        <v>-104730.54000000002</v>
      </c>
      <c r="O21" s="295"/>
      <c r="R21" s="346"/>
    </row>
    <row r="22" spans="1:18" s="295" customFormat="1" ht="24" hidden="1">
      <c r="A22" s="398" t="s">
        <v>108</v>
      </c>
      <c r="B22" s="601"/>
      <c r="C22" s="601"/>
      <c r="D22" s="601"/>
      <c r="E22" s="601"/>
      <c r="F22" s="406"/>
      <c r="G22" s="442"/>
      <c r="H22" s="426"/>
      <c r="I22" s="426"/>
      <c r="J22" s="426"/>
      <c r="K22" s="426"/>
      <c r="L22" s="426"/>
      <c r="M22" s="866"/>
      <c r="N22" s="423">
        <f t="shared" si="4"/>
        <v>0</v>
      </c>
      <c r="O22" s="335"/>
      <c r="P22" s="317"/>
    </row>
    <row r="23" spans="1:18">
      <c r="A23" s="308" t="s">
        <v>2</v>
      </c>
      <c r="B23" s="602">
        <f>B5</f>
        <v>93170</v>
      </c>
      <c r="C23" s="602">
        <f>C5</f>
        <v>95000</v>
      </c>
      <c r="D23" s="602"/>
      <c r="E23" s="602"/>
      <c r="F23" s="407">
        <f>'AVP  Health'!U90</f>
        <v>-21303.56</v>
      </c>
      <c r="G23" s="427">
        <f>'Principal &amp; Major'!W39</f>
        <v>-18653.940000000002</v>
      </c>
      <c r="H23" s="407"/>
      <c r="I23" s="407">
        <f>'Community Rel and Philanthropy'!AC44</f>
        <v>-4531.67</v>
      </c>
      <c r="J23" s="427">
        <f>'Annual Giving'!AK44</f>
        <v>-1045.75</v>
      </c>
      <c r="K23" s="407"/>
      <c r="L23" s="427"/>
      <c r="M23" s="685"/>
      <c r="N23" s="427">
        <f t="shared" si="4"/>
        <v>-45534.92</v>
      </c>
      <c r="O23" s="295"/>
    </row>
    <row r="24" spans="1:18">
      <c r="A24" s="566" t="s">
        <v>223</v>
      </c>
      <c r="B24" s="597">
        <f>B7</f>
        <v>200000</v>
      </c>
      <c r="C24" s="597">
        <f>C7</f>
        <v>376107</v>
      </c>
      <c r="D24" s="597"/>
      <c r="E24" s="597"/>
      <c r="F24" s="642">
        <f>'AVP  Health'!W90</f>
        <v>-6119.0300000000007</v>
      </c>
      <c r="G24" s="642">
        <f>'Principal &amp; Major'!S39</f>
        <v>-2541.8700000000003</v>
      </c>
      <c r="H24" s="642">
        <f>Communications!AA42</f>
        <v>-3463.7200000000003</v>
      </c>
      <c r="I24" s="642">
        <f>'Community Rel and Philanthropy'!AG44</f>
        <v>-90311.59</v>
      </c>
      <c r="J24" s="642">
        <f>'Annual Giving'!AQ44</f>
        <v>-2301.42</v>
      </c>
      <c r="K24" s="642">
        <f>'COM Alumni '!Y92</f>
        <v>0</v>
      </c>
      <c r="L24" s="642"/>
      <c r="M24" s="856"/>
      <c r="N24" s="597">
        <f t="shared" si="4"/>
        <v>-104737.62999999999</v>
      </c>
      <c r="O24" s="295"/>
    </row>
    <row r="25" spans="1:18">
      <c r="A25" s="309" t="s">
        <v>224</v>
      </c>
      <c r="B25" s="603">
        <f>B8</f>
        <v>71000</v>
      </c>
      <c r="C25" s="603">
        <f>C8</f>
        <v>95000</v>
      </c>
      <c r="D25" s="603"/>
      <c r="E25" s="603"/>
      <c r="F25" s="408">
        <f>'AVP  Health'!Y90</f>
        <v>-6260.5700000000006</v>
      </c>
      <c r="G25" s="428">
        <f>'Principal &amp; Major'!U39</f>
        <v>-1254.8</v>
      </c>
      <c r="H25" s="408">
        <f>Communications!AE42</f>
        <v>-1889.5</v>
      </c>
      <c r="I25" s="408">
        <f>'Community Rel and Philanthropy'!AE44</f>
        <v>-2051.4</v>
      </c>
      <c r="J25" s="428">
        <f>'Annual Giving'!AM44</f>
        <v>-2502.86</v>
      </c>
      <c r="K25" s="408">
        <f>'COM Alumni '!AA92</f>
        <v>0</v>
      </c>
      <c r="L25" s="428"/>
      <c r="M25" s="686"/>
      <c r="N25" s="428">
        <f t="shared" si="4"/>
        <v>-13959.130000000001</v>
      </c>
      <c r="O25" s="295"/>
      <c r="R25" s="346"/>
    </row>
    <row r="26" spans="1:18">
      <c r="A26" s="362" t="s">
        <v>28</v>
      </c>
      <c r="B26" s="383">
        <f>SUM(B20:B25)</f>
        <v>539717</v>
      </c>
      <c r="C26" s="383">
        <f t="shared" ref="C26:M26" si="5">SUM(C20:C25)</f>
        <v>753715</v>
      </c>
      <c r="D26" s="383"/>
      <c r="E26" s="383"/>
      <c r="F26" s="383">
        <f t="shared" si="5"/>
        <v>-159981.79000000004</v>
      </c>
      <c r="G26" s="383">
        <f t="shared" si="5"/>
        <v>-22980.57</v>
      </c>
      <c r="H26" s="383">
        <f t="shared" si="5"/>
        <v>-6216.35</v>
      </c>
      <c r="I26" s="383">
        <f t="shared" si="5"/>
        <v>-96894.659999999989</v>
      </c>
      <c r="J26" s="383">
        <f t="shared" si="5"/>
        <v>-5850.0300000000007</v>
      </c>
      <c r="K26" s="383">
        <f t="shared" si="5"/>
        <v>0</v>
      </c>
      <c r="L26" s="383">
        <f t="shared" si="5"/>
        <v>0</v>
      </c>
      <c r="M26" s="687">
        <f t="shared" si="5"/>
        <v>0</v>
      </c>
      <c r="N26" s="383">
        <f t="shared" si="4"/>
        <v>-291923.40000000008</v>
      </c>
      <c r="O26" s="443"/>
    </row>
    <row r="27" spans="1:18">
      <c r="A27" s="478" t="s">
        <v>97</v>
      </c>
      <c r="B27" s="604">
        <f>B10</f>
        <v>23375</v>
      </c>
      <c r="C27" s="604">
        <f>C10</f>
        <v>23375</v>
      </c>
      <c r="D27" s="681"/>
      <c r="E27" s="681"/>
      <c r="F27" s="604">
        <f>'AVP  Health'!AC90</f>
        <v>-1478.09</v>
      </c>
      <c r="G27" s="604"/>
      <c r="H27" s="604">
        <f>Communications!AG42</f>
        <v>-580</v>
      </c>
      <c r="I27" s="604"/>
      <c r="J27" s="604"/>
      <c r="K27" s="604">
        <f>'COM Alumni '!U91</f>
        <v>-1451.72</v>
      </c>
      <c r="L27" s="604"/>
      <c r="M27" s="688"/>
      <c r="N27" s="681">
        <f t="shared" si="4"/>
        <v>-3509.8100000000004</v>
      </c>
      <c r="O27" s="443"/>
      <c r="R27" s="346"/>
    </row>
    <row r="28" spans="1:18" hidden="1">
      <c r="A28" s="455" t="s">
        <v>132</v>
      </c>
      <c r="B28" s="456">
        <f>B6</f>
        <v>1205</v>
      </c>
      <c r="C28" s="456"/>
      <c r="D28" s="456"/>
      <c r="E28" s="456"/>
      <c r="F28" s="455"/>
      <c r="G28" s="455"/>
      <c r="H28" s="455"/>
      <c r="I28" s="455"/>
      <c r="J28" s="455"/>
      <c r="K28" s="455"/>
      <c r="L28" s="455"/>
      <c r="M28" s="855"/>
      <c r="N28" s="423">
        <f t="shared" si="4"/>
        <v>0</v>
      </c>
      <c r="O28" s="295"/>
    </row>
    <row r="29" spans="1:18" ht="11.25" customHeight="1">
      <c r="A29" s="365" t="s">
        <v>62</v>
      </c>
      <c r="B29" s="605">
        <f>'CON '!AA37</f>
        <v>-1665.0900000000001</v>
      </c>
      <c r="C29" s="605"/>
      <c r="D29" s="605"/>
      <c r="E29" s="605"/>
      <c r="F29" s="411"/>
      <c r="G29" s="431"/>
      <c r="H29" s="411"/>
      <c r="I29" s="411"/>
      <c r="J29" s="431"/>
      <c r="K29" s="411"/>
      <c r="L29" s="431"/>
      <c r="M29" s="689"/>
      <c r="N29" s="431">
        <f t="shared" si="4"/>
        <v>0</v>
      </c>
    </row>
    <row r="30" spans="1:18">
      <c r="A30" s="312" t="s">
        <v>63</v>
      </c>
      <c r="B30" s="606">
        <f>COP!V43</f>
        <v>19438.750000000004</v>
      </c>
      <c r="C30" s="606"/>
      <c r="D30" s="606"/>
      <c r="E30" s="606"/>
      <c r="F30" s="412"/>
      <c r="G30" s="432"/>
      <c r="H30" s="412"/>
      <c r="I30" s="412"/>
      <c r="J30" s="432"/>
      <c r="K30" s="412"/>
      <c r="L30" s="432"/>
      <c r="M30" s="690">
        <f>COP!W41+COP!Y41</f>
        <v>-144.42999999999998</v>
      </c>
      <c r="N30" s="432">
        <f t="shared" si="4"/>
        <v>-144.42999999999998</v>
      </c>
    </row>
    <row r="31" spans="1:18" hidden="1">
      <c r="A31" s="310" t="s">
        <v>60</v>
      </c>
      <c r="B31" s="607"/>
      <c r="C31" s="607"/>
      <c r="D31" s="607"/>
      <c r="E31" s="607"/>
      <c r="F31" s="409"/>
      <c r="G31" s="429"/>
      <c r="H31" s="409"/>
      <c r="I31" s="409"/>
      <c r="J31" s="429"/>
      <c r="K31" s="409"/>
      <c r="L31" s="429"/>
      <c r="M31" s="867"/>
      <c r="N31" s="423">
        <f t="shared" si="4"/>
        <v>0</v>
      </c>
    </row>
    <row r="32" spans="1:18" hidden="1">
      <c r="A32" s="311" t="s">
        <v>61</v>
      </c>
      <c r="B32" s="608"/>
      <c r="C32" s="608"/>
      <c r="D32" s="608"/>
      <c r="E32" s="608"/>
      <c r="F32" s="410"/>
      <c r="G32" s="430"/>
      <c r="H32" s="410"/>
      <c r="I32" s="410"/>
      <c r="J32" s="430"/>
      <c r="K32" s="410"/>
      <c r="L32" s="430"/>
      <c r="M32" s="868"/>
      <c r="N32" s="423">
        <f t="shared" si="4"/>
        <v>0</v>
      </c>
    </row>
    <row r="33" spans="1:18" hidden="1">
      <c r="A33" s="313" t="s">
        <v>64</v>
      </c>
      <c r="B33" s="609"/>
      <c r="C33" s="609"/>
      <c r="D33" s="609"/>
      <c r="E33" s="609"/>
      <c r="F33" s="413"/>
      <c r="G33" s="433"/>
      <c r="H33" s="413"/>
      <c r="I33" s="413"/>
      <c r="J33" s="433"/>
      <c r="K33" s="413"/>
      <c r="L33" s="433"/>
      <c r="M33" s="869"/>
      <c r="N33" s="423">
        <f t="shared" si="4"/>
        <v>0</v>
      </c>
    </row>
    <row r="34" spans="1:18">
      <c r="A34" s="314" t="s">
        <v>28</v>
      </c>
      <c r="B34" s="610"/>
      <c r="C34" s="610"/>
      <c r="D34" s="610"/>
      <c r="E34" s="610"/>
      <c r="F34" s="414">
        <f t="shared" ref="F34:M34" si="6">SUM(F28:F33)</f>
        <v>0</v>
      </c>
      <c r="G34" s="414">
        <f t="shared" si="6"/>
        <v>0</v>
      </c>
      <c r="H34" s="414">
        <f t="shared" si="6"/>
        <v>0</v>
      </c>
      <c r="I34" s="414">
        <f t="shared" si="6"/>
        <v>0</v>
      </c>
      <c r="J34" s="414">
        <f t="shared" si="6"/>
        <v>0</v>
      </c>
      <c r="K34" s="414">
        <f t="shared" si="6"/>
        <v>0</v>
      </c>
      <c r="L34" s="414">
        <f t="shared" si="6"/>
        <v>0</v>
      </c>
      <c r="M34" s="691">
        <f t="shared" si="6"/>
        <v>-144.42999999999998</v>
      </c>
      <c r="N34" s="695">
        <f t="shared" si="4"/>
        <v>-144.42999999999998</v>
      </c>
    </row>
    <row r="35" spans="1:18">
      <c r="A35" s="315" t="s">
        <v>59</v>
      </c>
      <c r="B35" s="611"/>
      <c r="C35" s="611"/>
      <c r="D35" s="611"/>
      <c r="E35" s="611"/>
      <c r="F35" s="415">
        <f t="shared" ref="F35:M35" si="7">F26+F34</f>
        <v>-159981.79000000004</v>
      </c>
      <c r="G35" s="415">
        <f t="shared" si="7"/>
        <v>-22980.57</v>
      </c>
      <c r="H35" s="415">
        <f t="shared" si="7"/>
        <v>-6216.35</v>
      </c>
      <c r="I35" s="415">
        <f t="shared" si="7"/>
        <v>-96894.659999999989</v>
      </c>
      <c r="J35" s="415">
        <f t="shared" si="7"/>
        <v>-5850.0300000000007</v>
      </c>
      <c r="K35" s="415">
        <f t="shared" si="7"/>
        <v>0</v>
      </c>
      <c r="L35" s="415">
        <f t="shared" si="7"/>
        <v>0</v>
      </c>
      <c r="M35" s="692">
        <f t="shared" si="7"/>
        <v>-144.42999999999998</v>
      </c>
      <c r="N35" s="696">
        <f t="shared" si="4"/>
        <v>-292067.83000000007</v>
      </c>
      <c r="P35" s="452"/>
    </row>
    <row r="36" spans="1:18">
      <c r="K36" s="402"/>
      <c r="L36" s="402"/>
      <c r="M36" s="402"/>
    </row>
    <row r="37" spans="1:18">
      <c r="P37" s="452"/>
    </row>
    <row r="39" spans="1:18" ht="12.75">
      <c r="A39" s="733"/>
      <c r="P39" s="452"/>
      <c r="R39" s="346"/>
    </row>
    <row r="40" spans="1:18">
      <c r="P40" s="452"/>
    </row>
    <row r="41" spans="1:18">
      <c r="A41" s="730"/>
      <c r="B41" s="731"/>
      <c r="C41" s="731"/>
      <c r="D41" s="731"/>
      <c r="E41" s="731"/>
      <c r="F41" s="731"/>
      <c r="G41" s="732"/>
      <c r="P41" s="452"/>
    </row>
    <row r="43" spans="1:18">
      <c r="R43" s="346"/>
    </row>
    <row r="44" spans="1:18">
      <c r="A44" s="734"/>
      <c r="D44" s="735"/>
      <c r="E44" s="735"/>
    </row>
    <row r="48" spans="1:18">
      <c r="A48" s="736"/>
      <c r="G48" s="737"/>
    </row>
    <row r="50" spans="3:5">
      <c r="C50" s="731"/>
    </row>
    <row r="52" spans="3:5" ht="15">
      <c r="C52" s="743"/>
      <c r="D52" s="741"/>
      <c r="E52" s="741"/>
    </row>
    <row r="53" spans="3:5">
      <c r="C53" s="742" t="s">
        <v>302</v>
      </c>
      <c r="D53" s="353">
        <v>15620</v>
      </c>
      <c r="E53" s="353"/>
    </row>
    <row r="54" spans="3:5">
      <c r="C54" s="742" t="s">
        <v>303</v>
      </c>
      <c r="D54" s="353">
        <v>1500</v>
      </c>
      <c r="E54" s="353"/>
    </row>
    <row r="55" spans="3:5">
      <c r="C55" s="742" t="s">
        <v>294</v>
      </c>
      <c r="D55" s="353">
        <f>1600+(1400*8)+(1200*3)+2800+200+1825</f>
        <v>21225</v>
      </c>
      <c r="E55" s="353"/>
    </row>
    <row r="56" spans="3:5">
      <c r="C56" s="742" t="s">
        <v>299</v>
      </c>
      <c r="D56" s="353">
        <f>170+220+2550+370+150</f>
        <v>3460</v>
      </c>
      <c r="E56" s="353"/>
    </row>
    <row r="57" spans="3:5">
      <c r="C57" s="742" t="s">
        <v>300</v>
      </c>
      <c r="D57" s="353">
        <f>2000+500+350+1000+850</f>
        <v>4700</v>
      </c>
      <c r="E57" s="353"/>
    </row>
    <row r="58" spans="3:5">
      <c r="C58" s="742" t="s">
        <v>293</v>
      </c>
      <c r="D58" s="353">
        <v>10000</v>
      </c>
      <c r="E58" s="353"/>
    </row>
    <row r="59" spans="3:5">
      <c r="C59" s="742" t="s">
        <v>295</v>
      </c>
      <c r="D59" s="353">
        <v>4653</v>
      </c>
      <c r="E59" s="353"/>
    </row>
    <row r="60" spans="3:5">
      <c r="C60" s="742" t="s">
        <v>199</v>
      </c>
      <c r="D60" s="353">
        <v>500</v>
      </c>
      <c r="E60" s="353"/>
    </row>
    <row r="61" spans="3:5">
      <c r="C61" s="742" t="s">
        <v>296</v>
      </c>
      <c r="D61" s="353">
        <v>700</v>
      </c>
      <c r="E61" s="353"/>
    </row>
    <row r="62" spans="3:5" ht="24">
      <c r="C62" s="740" t="s">
        <v>297</v>
      </c>
      <c r="D62" s="353">
        <f>160950.44-D59-'AVP  Health'!B80</f>
        <v>19876.22000000003</v>
      </c>
      <c r="E62" s="353"/>
    </row>
    <row r="63" spans="3:5">
      <c r="C63" s="742" t="s">
        <v>135</v>
      </c>
      <c r="D63" s="353">
        <v>21600</v>
      </c>
      <c r="E63" s="353"/>
    </row>
    <row r="64" spans="3:5" ht="24">
      <c r="C64" s="740" t="s">
        <v>298</v>
      </c>
      <c r="D64" s="353">
        <v>40000</v>
      </c>
      <c r="E64" s="353"/>
    </row>
    <row r="65" spans="3:6">
      <c r="C65" s="742"/>
      <c r="D65" s="741">
        <f>SUM(D53:D64)</f>
        <v>143834.22000000003</v>
      </c>
      <c r="E65" s="741"/>
    </row>
    <row r="66" spans="3:6">
      <c r="C66" s="740" t="s">
        <v>307</v>
      </c>
      <c r="D66" s="353">
        <v>-31475</v>
      </c>
      <c r="E66" s="353"/>
      <c r="F66" s="739"/>
    </row>
    <row r="67" spans="3:6">
      <c r="C67" s="742" t="s">
        <v>117</v>
      </c>
      <c r="D67" s="353">
        <v>6000</v>
      </c>
      <c r="E67" s="353"/>
      <c r="F67" s="742" t="s">
        <v>304</v>
      </c>
    </row>
    <row r="68" spans="3:6">
      <c r="C68" s="742" t="s">
        <v>117</v>
      </c>
      <c r="D68" s="353">
        <v>2500</v>
      </c>
      <c r="E68" s="353"/>
      <c r="F68" s="742" t="s">
        <v>218</v>
      </c>
    </row>
    <row r="69" spans="3:6">
      <c r="C69" s="742" t="s">
        <v>117</v>
      </c>
      <c r="D69" s="353">
        <v>2500</v>
      </c>
      <c r="E69" s="353"/>
      <c r="F69" s="742" t="s">
        <v>305</v>
      </c>
    </row>
    <row r="70" spans="3:6">
      <c r="C70" s="742" t="s">
        <v>117</v>
      </c>
      <c r="D70" s="353">
        <v>2000</v>
      </c>
      <c r="E70" s="353"/>
      <c r="F70" s="742" t="s">
        <v>306</v>
      </c>
    </row>
    <row r="71" spans="3:6">
      <c r="C71" s="742" t="s">
        <v>308</v>
      </c>
      <c r="D71" s="353"/>
      <c r="E71" s="353"/>
      <c r="F71" s="742" t="s">
        <v>309</v>
      </c>
    </row>
    <row r="72" spans="3:6">
      <c r="C72" s="742" t="s">
        <v>308</v>
      </c>
      <c r="D72" s="353">
        <v>5000</v>
      </c>
      <c r="E72" s="353"/>
      <c r="F72" s="742" t="s">
        <v>217</v>
      </c>
    </row>
    <row r="73" spans="3:6">
      <c r="C73" s="742" t="s">
        <v>308</v>
      </c>
      <c r="D73" s="353">
        <v>2000</v>
      </c>
      <c r="E73" s="353"/>
      <c r="F73" s="742" t="s">
        <v>310</v>
      </c>
    </row>
    <row r="74" spans="3:6">
      <c r="C74" s="742" t="s">
        <v>308</v>
      </c>
      <c r="D74" s="353">
        <v>2000</v>
      </c>
      <c r="E74" s="353"/>
      <c r="F74" s="742" t="s">
        <v>107</v>
      </c>
    </row>
    <row r="75" spans="3:6">
      <c r="C75" s="742" t="s">
        <v>308</v>
      </c>
      <c r="D75" s="353">
        <v>1500</v>
      </c>
      <c r="E75" s="353"/>
      <c r="F75" s="742" t="s">
        <v>311</v>
      </c>
    </row>
    <row r="76" spans="3:6">
      <c r="C76" s="742" t="s">
        <v>308</v>
      </c>
      <c r="D76" s="353">
        <v>500</v>
      </c>
      <c r="E76" s="353"/>
      <c r="F76" s="742" t="s">
        <v>312</v>
      </c>
    </row>
    <row r="77" spans="3:6">
      <c r="C77" s="742" t="s">
        <v>313</v>
      </c>
      <c r="D77" s="353">
        <f>1200+1450+150+650</f>
        <v>3450</v>
      </c>
      <c r="E77" s="353"/>
      <c r="F77" s="742" t="s">
        <v>314</v>
      </c>
    </row>
    <row r="78" spans="3:6">
      <c r="C78" s="742" t="s">
        <v>313</v>
      </c>
      <c r="D78" s="353">
        <v>6000</v>
      </c>
      <c r="E78" s="353"/>
      <c r="F78" s="742" t="s">
        <v>315</v>
      </c>
    </row>
    <row r="79" spans="3:6">
      <c r="C79" s="742" t="s">
        <v>313</v>
      </c>
      <c r="D79" s="353">
        <f>210+200</f>
        <v>410</v>
      </c>
      <c r="E79" s="353"/>
      <c r="F79" s="742" t="s">
        <v>316</v>
      </c>
    </row>
    <row r="80" spans="3:6">
      <c r="C80" s="742" t="s">
        <v>313</v>
      </c>
      <c r="D80" s="353">
        <v>250</v>
      </c>
      <c r="E80" s="353"/>
      <c r="F80" s="742" t="s">
        <v>317</v>
      </c>
    </row>
    <row r="81" spans="3:6">
      <c r="C81" s="742" t="s">
        <v>313</v>
      </c>
      <c r="D81" s="353">
        <v>200</v>
      </c>
      <c r="E81" s="353"/>
      <c r="F81" s="742" t="s">
        <v>318</v>
      </c>
    </row>
    <row r="82" spans="3:6">
      <c r="C82" s="742" t="s">
        <v>313</v>
      </c>
      <c r="D82" s="353">
        <v>100</v>
      </c>
      <c r="E82" s="353"/>
      <c r="F82" s="742" t="s">
        <v>319</v>
      </c>
    </row>
    <row r="83" spans="3:6">
      <c r="C83" s="742" t="s">
        <v>320</v>
      </c>
      <c r="D83" s="353">
        <v>3000</v>
      </c>
      <c r="E83" s="353"/>
      <c r="F83" s="742" t="s">
        <v>321</v>
      </c>
    </row>
    <row r="84" spans="3:6">
      <c r="C84" s="742" t="s">
        <v>76</v>
      </c>
      <c r="D84" s="353">
        <v>2000</v>
      </c>
      <c r="E84" s="353"/>
      <c r="F84" s="742" t="s">
        <v>322</v>
      </c>
    </row>
    <row r="85" spans="3:6">
      <c r="C85" s="742" t="s">
        <v>76</v>
      </c>
      <c r="D85" s="353">
        <v>3000</v>
      </c>
      <c r="E85" s="353"/>
      <c r="F85" s="742" t="s">
        <v>321</v>
      </c>
    </row>
    <row r="86" spans="3:6">
      <c r="C86" s="742" t="s">
        <v>76</v>
      </c>
      <c r="D86" s="353">
        <v>1000</v>
      </c>
      <c r="E86" s="353"/>
      <c r="F86" s="742" t="s">
        <v>323</v>
      </c>
    </row>
    <row r="87" spans="3:6">
      <c r="C87" s="742" t="s">
        <v>76</v>
      </c>
      <c r="D87" s="353">
        <v>500</v>
      </c>
      <c r="E87" s="353"/>
      <c r="F87" s="742" t="s">
        <v>324</v>
      </c>
    </row>
    <row r="88" spans="3:6">
      <c r="C88" s="742" t="s">
        <v>325</v>
      </c>
      <c r="D88" s="353">
        <v>900</v>
      </c>
      <c r="E88" s="353"/>
      <c r="F88" s="742" t="s">
        <v>326</v>
      </c>
    </row>
    <row r="89" spans="3:6">
      <c r="C89" s="742" t="s">
        <v>325</v>
      </c>
      <c r="D89" s="353">
        <v>5000</v>
      </c>
      <c r="E89" s="353"/>
      <c r="F89" s="742" t="s">
        <v>327</v>
      </c>
    </row>
    <row r="90" spans="3:6">
      <c r="C90" s="742" t="s">
        <v>325</v>
      </c>
      <c r="D90" s="353">
        <v>700</v>
      </c>
      <c r="E90" s="353"/>
      <c r="F90" s="742" t="s">
        <v>169</v>
      </c>
    </row>
    <row r="91" spans="3:6">
      <c r="C91" s="742" t="s">
        <v>325</v>
      </c>
      <c r="D91" s="353">
        <v>9600</v>
      </c>
      <c r="E91" s="353"/>
      <c r="F91" s="742" t="s">
        <v>328</v>
      </c>
    </row>
    <row r="92" spans="3:6">
      <c r="C92" s="742" t="s">
        <v>325</v>
      </c>
      <c r="D92" s="353">
        <v>3000</v>
      </c>
      <c r="E92" s="353"/>
      <c r="F92" s="742" t="s">
        <v>329</v>
      </c>
    </row>
    <row r="93" spans="3:6">
      <c r="C93" s="742" t="s">
        <v>325</v>
      </c>
      <c r="D93" s="353">
        <v>4400</v>
      </c>
      <c r="E93" s="353"/>
      <c r="F93" s="742" t="s">
        <v>330</v>
      </c>
    </row>
    <row r="94" spans="3:6">
      <c r="C94" s="742" t="s">
        <v>325</v>
      </c>
      <c r="D94" s="353">
        <v>900</v>
      </c>
      <c r="E94" s="353"/>
      <c r="F94" s="742" t="s">
        <v>370</v>
      </c>
    </row>
    <row r="95" spans="3:6">
      <c r="C95" s="742"/>
      <c r="D95" s="353">
        <f>SUM(D65:D94)</f>
        <v>180769.22000000003</v>
      </c>
      <c r="E95" s="353"/>
      <c r="F95" s="742" t="s">
        <v>331</v>
      </c>
    </row>
    <row r="96" spans="3:6">
      <c r="C96" s="741"/>
      <c r="D96" s="353"/>
      <c r="E96" s="353"/>
      <c r="F96" s="742"/>
    </row>
    <row r="97" spans="3:6">
      <c r="C97" s="741"/>
      <c r="D97" s="353"/>
      <c r="E97" s="353"/>
      <c r="F97" s="742"/>
    </row>
    <row r="98" spans="3:6">
      <c r="C98" s="741"/>
      <c r="D98" s="353"/>
      <c r="E98" s="353"/>
      <c r="F98" s="742"/>
    </row>
    <row r="99" spans="3:6">
      <c r="C99" s="741"/>
      <c r="D99" s="353"/>
      <c r="E99" s="353"/>
      <c r="F99" s="742"/>
    </row>
    <row r="100" spans="3:6">
      <c r="C100" s="353"/>
      <c r="D100" s="742"/>
      <c r="E100" s="742"/>
      <c r="F100" s="742"/>
    </row>
    <row r="101" spans="3:6">
      <c r="C101" s="353"/>
      <c r="D101" s="742"/>
      <c r="E101" s="742"/>
      <c r="F101" s="742"/>
    </row>
    <row r="102" spans="3:6">
      <c r="C102" s="353"/>
      <c r="D102" s="742"/>
      <c r="E102" s="742"/>
      <c r="F102" s="742"/>
    </row>
    <row r="103" spans="3:6">
      <c r="C103" s="353"/>
      <c r="D103" s="742"/>
      <c r="E103" s="742"/>
      <c r="F103" s="742"/>
    </row>
    <row r="104" spans="3:6">
      <c r="C104" s="353"/>
      <c r="D104" s="742"/>
      <c r="E104" s="742"/>
      <c r="F104" s="742"/>
    </row>
    <row r="105" spans="3:6">
      <c r="C105" s="353"/>
      <c r="D105" s="742"/>
      <c r="E105" s="742"/>
      <c r="F105" s="742"/>
    </row>
    <row r="106" spans="3:6">
      <c r="C106" s="744"/>
      <c r="D106" s="402"/>
      <c r="E106" s="402"/>
      <c r="F106" s="742"/>
    </row>
    <row r="107" spans="3:6">
      <c r="C107" s="741"/>
      <c r="D107" s="353"/>
      <c r="E107" s="353"/>
      <c r="F107" s="742"/>
    </row>
    <row r="108" spans="3:6">
      <c r="C108" s="741"/>
      <c r="D108" s="353"/>
      <c r="E108" s="353"/>
      <c r="F108" s="742"/>
    </row>
    <row r="109" spans="3:6">
      <c r="C109" s="741"/>
      <c r="D109" s="353"/>
      <c r="E109" s="353"/>
      <c r="F109" s="742"/>
    </row>
    <row r="110" spans="3:6">
      <c r="C110" s="741"/>
      <c r="D110" s="353"/>
      <c r="E110" s="353"/>
      <c r="F110" s="742"/>
    </row>
    <row r="111" spans="3:6">
      <c r="C111" s="741"/>
      <c r="D111" s="741"/>
      <c r="E111" s="741"/>
      <c r="F111" s="741"/>
    </row>
    <row r="112" spans="3:6">
      <c r="C112" s="741"/>
      <c r="D112" s="741"/>
      <c r="E112" s="741"/>
      <c r="F112" s="741"/>
    </row>
    <row r="113" spans="3:6">
      <c r="C113" s="741"/>
      <c r="D113" s="741"/>
      <c r="E113" s="741"/>
      <c r="F113" s="741"/>
    </row>
    <row r="114" spans="3:6">
      <c r="C114" s="741"/>
      <c r="D114" s="741"/>
      <c r="E114" s="741"/>
      <c r="F114" s="741"/>
    </row>
  </sheetData>
  <phoneticPr fontId="40" type="noConversion"/>
  <printOptions horizontalCentered="1" gridLines="1"/>
  <pageMargins left="0.2" right="0.2" top="0.75" bottom="0.75" header="0.3" footer="0.3"/>
  <pageSetup paperSize="17" orientation="landscape" r:id="rId1"/>
  <headerFooter>
    <oddHeader>&amp;L&amp;8 4/2/19&amp;CUSF Health Development and Alumni Relations 
FY2019 -2020</oddHeader>
    <oddFooter>&amp;L&amp;A&amp;C&amp;BUSF Health Confidential&amp;B&amp;RPage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pageSetUpPr fitToPage="1"/>
  </sheetPr>
  <dimension ref="A1:F51"/>
  <sheetViews>
    <sheetView workbookViewId="0">
      <selection activeCell="J41" sqref="J41"/>
    </sheetView>
  </sheetViews>
  <sheetFormatPr defaultColWidth="8.7109375" defaultRowHeight="12"/>
  <cols>
    <col min="1" max="1" width="27.42578125" style="1" customWidth="1"/>
    <col min="2" max="4" width="10.28515625" style="1" customWidth="1"/>
    <col min="5" max="5" width="12.7109375" style="1" customWidth="1"/>
    <col min="6" max="6" width="10.42578125" style="1" bestFit="1" customWidth="1"/>
    <col min="7" max="16384" width="8.7109375" style="1"/>
  </cols>
  <sheetData>
    <row r="1" spans="1:6" s="16" customFormat="1" ht="52.5" customHeight="1">
      <c r="A1" s="14"/>
      <c r="B1" s="978" t="s">
        <v>46</v>
      </c>
      <c r="C1" s="979"/>
      <c r="D1" s="979"/>
      <c r="E1" s="41" t="s">
        <v>2</v>
      </c>
      <c r="F1" s="42" t="s">
        <v>3</v>
      </c>
    </row>
    <row r="2" spans="1:6" s="16" customFormat="1" ht="72">
      <c r="A2" s="14"/>
      <c r="B2" s="39" t="s">
        <v>47</v>
      </c>
      <c r="C2" s="39" t="s">
        <v>48</v>
      </c>
      <c r="D2" s="22" t="s">
        <v>49</v>
      </c>
      <c r="E2" s="5" t="s">
        <v>4</v>
      </c>
      <c r="F2" s="23" t="s">
        <v>4</v>
      </c>
    </row>
    <row r="3" spans="1:6">
      <c r="A3" s="6"/>
      <c r="B3" s="4"/>
      <c r="C3" s="4"/>
      <c r="D3" s="4"/>
      <c r="E3" s="17"/>
      <c r="F3" s="37"/>
    </row>
    <row r="4" spans="1:6">
      <c r="A4" s="7" t="s">
        <v>23</v>
      </c>
      <c r="B4" s="8"/>
      <c r="C4" s="8"/>
      <c r="D4" s="8"/>
      <c r="E4" s="9"/>
      <c r="F4" s="24"/>
    </row>
    <row r="5" spans="1:6">
      <c r="A5" s="25" t="s">
        <v>29</v>
      </c>
      <c r="B5" s="8"/>
      <c r="C5" s="8"/>
      <c r="D5" s="8"/>
      <c r="E5" s="9"/>
      <c r="F5" s="24"/>
    </row>
    <row r="6" spans="1:6">
      <c r="A6" s="25" t="s">
        <v>30</v>
      </c>
      <c r="B6" s="8"/>
      <c r="C6" s="8"/>
      <c r="D6" s="8"/>
      <c r="E6" s="9"/>
      <c r="F6" s="24"/>
    </row>
    <row r="7" spans="1:6">
      <c r="A7" s="10" t="s">
        <v>5</v>
      </c>
      <c r="B7" s="38"/>
      <c r="C7" s="38"/>
      <c r="D7" s="38"/>
      <c r="E7" s="9"/>
      <c r="F7" s="24"/>
    </row>
    <row r="8" spans="1:6">
      <c r="A8" s="10" t="s">
        <v>6</v>
      </c>
      <c r="B8" s="28"/>
      <c r="C8" s="28"/>
      <c r="D8" s="28"/>
      <c r="E8" s="9"/>
      <c r="F8" s="24"/>
    </row>
    <row r="9" spans="1:6">
      <c r="A9" s="10" t="s">
        <v>7</v>
      </c>
      <c r="B9" s="8"/>
      <c r="C9" s="8"/>
      <c r="D9" s="8"/>
      <c r="E9" s="9"/>
      <c r="F9" s="24"/>
    </row>
    <row r="10" spans="1:6">
      <c r="A10" s="10" t="s">
        <v>44</v>
      </c>
      <c r="B10" s="8"/>
      <c r="C10" s="8"/>
      <c r="D10" s="8"/>
      <c r="E10" s="9"/>
      <c r="F10" s="24"/>
    </row>
    <row r="11" spans="1:6">
      <c r="A11" s="10" t="s">
        <v>44</v>
      </c>
      <c r="B11" s="8"/>
      <c r="C11" s="8"/>
      <c r="D11" s="8"/>
      <c r="E11" s="9"/>
      <c r="F11" s="24"/>
    </row>
    <row r="12" spans="1:6">
      <c r="A12" s="10" t="s">
        <v>9</v>
      </c>
      <c r="B12" s="33"/>
      <c r="C12" s="33"/>
      <c r="D12" s="33"/>
      <c r="E12" s="9"/>
      <c r="F12" s="27"/>
    </row>
    <row r="13" spans="1:6">
      <c r="A13" s="10" t="s">
        <v>9</v>
      </c>
      <c r="B13" s="33"/>
      <c r="C13" s="33"/>
      <c r="D13" s="33"/>
      <c r="E13" s="9"/>
      <c r="F13" s="27"/>
    </row>
    <row r="14" spans="1:6">
      <c r="A14" s="25" t="s">
        <v>31</v>
      </c>
      <c r="B14" s="8"/>
      <c r="C14" s="8"/>
      <c r="D14" s="8"/>
      <c r="E14" s="9"/>
      <c r="F14" s="27"/>
    </row>
    <row r="15" spans="1:6" ht="15" customHeight="1">
      <c r="A15" s="25" t="s">
        <v>31</v>
      </c>
      <c r="B15" s="8"/>
      <c r="C15" s="8"/>
      <c r="D15" s="8"/>
      <c r="E15" s="9"/>
      <c r="F15" s="27"/>
    </row>
    <row r="16" spans="1:6">
      <c r="A16" s="25" t="s">
        <v>32</v>
      </c>
      <c r="B16" s="13"/>
      <c r="C16" s="13"/>
      <c r="D16" s="13"/>
      <c r="E16" s="9"/>
      <c r="F16" s="27"/>
    </row>
    <row r="17" spans="1:6">
      <c r="A17" s="25" t="s">
        <v>32</v>
      </c>
      <c r="B17" s="13"/>
      <c r="C17" s="13"/>
      <c r="D17" s="13"/>
      <c r="E17" s="9"/>
      <c r="F17" s="27"/>
    </row>
    <row r="18" spans="1:6">
      <c r="A18" s="10" t="s">
        <v>10</v>
      </c>
      <c r="B18" s="8"/>
      <c r="C18" s="8"/>
      <c r="D18" s="8"/>
      <c r="E18" s="11"/>
      <c r="F18" s="27"/>
    </row>
    <row r="19" spans="1:6">
      <c r="A19" s="10" t="s">
        <v>10</v>
      </c>
      <c r="B19" s="8"/>
      <c r="C19" s="8"/>
      <c r="D19" s="8"/>
      <c r="E19" s="11"/>
      <c r="F19" s="27"/>
    </row>
    <row r="20" spans="1:6">
      <c r="A20" s="10" t="s">
        <v>11</v>
      </c>
      <c r="B20" s="8"/>
      <c r="C20" s="8"/>
      <c r="D20" s="8"/>
      <c r="E20" s="11"/>
      <c r="F20" s="27"/>
    </row>
    <row r="21" spans="1:6">
      <c r="A21" s="10" t="s">
        <v>12</v>
      </c>
      <c r="B21" s="8"/>
      <c r="C21" s="8"/>
      <c r="D21" s="8"/>
      <c r="E21" s="11"/>
      <c r="F21" s="27"/>
    </row>
    <row r="22" spans="1:6">
      <c r="A22" s="10" t="s">
        <v>13</v>
      </c>
      <c r="B22" s="8"/>
      <c r="C22" s="8"/>
      <c r="D22" s="8"/>
      <c r="E22" s="11"/>
      <c r="F22" s="27"/>
    </row>
    <row r="23" spans="1:6">
      <c r="A23" s="10" t="s">
        <v>13</v>
      </c>
      <c r="B23" s="8"/>
      <c r="C23" s="8"/>
      <c r="D23" s="8"/>
      <c r="E23" s="11"/>
      <c r="F23" s="27"/>
    </row>
    <row r="24" spans="1:6">
      <c r="A24" s="10" t="s">
        <v>33</v>
      </c>
      <c r="B24" s="8"/>
      <c r="C24" s="8"/>
      <c r="D24" s="8"/>
      <c r="E24" s="11"/>
      <c r="F24" s="27"/>
    </row>
    <row r="25" spans="1:6">
      <c r="A25" s="10" t="s">
        <v>34</v>
      </c>
      <c r="E25" s="11"/>
      <c r="F25" s="27"/>
    </row>
    <row r="26" spans="1:6">
      <c r="A26" s="10" t="s">
        <v>45</v>
      </c>
      <c r="B26" s="40">
        <v>5000</v>
      </c>
      <c r="C26" s="26">
        <v>5000</v>
      </c>
      <c r="D26" s="26">
        <v>1500</v>
      </c>
      <c r="E26" s="11">
        <f>D26+C26</f>
        <v>6500</v>
      </c>
      <c r="F26" s="27">
        <f>B26</f>
        <v>5000</v>
      </c>
    </row>
    <row r="27" spans="1:6">
      <c r="A27" s="10" t="s">
        <v>45</v>
      </c>
      <c r="B27" s="36"/>
      <c r="C27" s="36"/>
      <c r="D27" s="36"/>
      <c r="E27" s="11"/>
      <c r="F27" s="27"/>
    </row>
    <row r="28" spans="1:6">
      <c r="A28" s="10" t="s">
        <v>35</v>
      </c>
      <c r="B28" s="8"/>
      <c r="C28" s="8"/>
      <c r="D28" s="8"/>
      <c r="E28" s="11"/>
      <c r="F28" s="27"/>
    </row>
    <row r="29" spans="1:6">
      <c r="A29" s="10" t="s">
        <v>35</v>
      </c>
      <c r="B29" s="8"/>
      <c r="C29" s="8"/>
      <c r="D29" s="8"/>
      <c r="E29" s="11"/>
      <c r="F29" s="27"/>
    </row>
    <row r="30" spans="1:6">
      <c r="A30" s="10" t="s">
        <v>35</v>
      </c>
      <c r="B30" s="8"/>
      <c r="C30" s="8"/>
      <c r="D30" s="8"/>
      <c r="E30" s="11"/>
      <c r="F30" s="27"/>
    </row>
    <row r="31" spans="1:6">
      <c r="A31" s="10" t="s">
        <v>15</v>
      </c>
      <c r="B31" s="8"/>
      <c r="C31" s="8"/>
      <c r="D31" s="8"/>
      <c r="E31" s="11"/>
      <c r="F31" s="27"/>
    </row>
    <row r="32" spans="1:6">
      <c r="A32" s="10" t="s">
        <v>16</v>
      </c>
      <c r="B32" s="8"/>
      <c r="C32" s="8"/>
      <c r="D32" s="8"/>
      <c r="E32" s="11"/>
      <c r="F32" s="27"/>
    </row>
    <row r="33" spans="1:6">
      <c r="A33" s="10" t="s">
        <v>17</v>
      </c>
      <c r="B33" s="8"/>
      <c r="C33" s="8"/>
      <c r="D33" s="8"/>
      <c r="E33" s="11"/>
      <c r="F33" s="27"/>
    </row>
    <row r="34" spans="1:6">
      <c r="A34" s="10" t="s">
        <v>36</v>
      </c>
      <c r="B34" s="12"/>
      <c r="C34" s="12"/>
      <c r="D34" s="12"/>
      <c r="E34" s="11"/>
      <c r="F34" s="27"/>
    </row>
    <row r="35" spans="1:6">
      <c r="A35" s="10" t="s">
        <v>18</v>
      </c>
      <c r="B35" s="12"/>
      <c r="C35" s="12"/>
      <c r="D35" s="12"/>
      <c r="E35" s="11"/>
      <c r="F35" s="27"/>
    </row>
    <row r="36" spans="1:6">
      <c r="A36" s="10" t="s">
        <v>40</v>
      </c>
      <c r="B36" s="12"/>
      <c r="C36" s="12"/>
      <c r="D36" s="12"/>
      <c r="E36" s="11"/>
      <c r="F36" s="27"/>
    </row>
    <row r="37" spans="1:6">
      <c r="A37" s="10" t="s">
        <v>20</v>
      </c>
      <c r="B37" s="12"/>
      <c r="C37" s="12"/>
      <c r="D37" s="12"/>
      <c r="E37" s="11"/>
      <c r="F37" s="27"/>
    </row>
    <row r="38" spans="1:6">
      <c r="A38" s="10" t="s">
        <v>21</v>
      </c>
      <c r="B38" s="34"/>
      <c r="C38" s="34"/>
      <c r="D38" s="34"/>
      <c r="E38" s="11"/>
      <c r="F38" s="27"/>
    </row>
    <row r="39" spans="1:6" ht="15.75" customHeight="1">
      <c r="A39" s="10"/>
      <c r="B39" s="34"/>
      <c r="C39" s="34"/>
      <c r="D39" s="34"/>
      <c r="E39" s="11"/>
      <c r="F39" s="27"/>
    </row>
    <row r="40" spans="1:6" ht="12.75" thickBot="1">
      <c r="A40" s="10"/>
      <c r="B40" s="20"/>
      <c r="C40" s="20"/>
      <c r="D40" s="20"/>
      <c r="E40" s="18">
        <f>SUM(E26:E39)</f>
        <v>6500</v>
      </c>
      <c r="F40" s="19">
        <f>SUM(F26:F39)</f>
        <v>5000</v>
      </c>
    </row>
    <row r="41" spans="1:6" ht="12.75" thickBot="1">
      <c r="B41" s="2"/>
      <c r="C41" s="2"/>
      <c r="D41" s="2"/>
      <c r="E41" s="3"/>
      <c r="F41" s="3"/>
    </row>
    <row r="42" spans="1:6" ht="12.75" thickBot="1">
      <c r="A42" s="29"/>
      <c r="B42" s="2"/>
      <c r="C42" s="2"/>
      <c r="D42" s="2"/>
      <c r="E42" s="21"/>
      <c r="F42" s="21"/>
    </row>
    <row r="43" spans="1:6" ht="13.5" thickTop="1" thickBot="1">
      <c r="A43" s="30" t="s">
        <v>27</v>
      </c>
      <c r="E43" s="31">
        <f>E40</f>
        <v>6500</v>
      </c>
      <c r="F43" s="32">
        <f>F40</f>
        <v>5000</v>
      </c>
    </row>
    <row r="44" spans="1:6" ht="12.75" thickTop="1">
      <c r="E44" s="15"/>
      <c r="F44" s="15"/>
    </row>
    <row r="45" spans="1:6">
      <c r="E45" s="15"/>
      <c r="F45" s="15"/>
    </row>
    <row r="46" spans="1:6">
      <c r="A46" s="35"/>
      <c r="B46" s="15"/>
      <c r="C46" s="15"/>
      <c r="D46" s="15"/>
      <c r="E46" s="15"/>
      <c r="F46" s="15"/>
    </row>
    <row r="47" spans="1:6">
      <c r="A47" s="35"/>
      <c r="B47" s="15"/>
      <c r="C47" s="15"/>
      <c r="D47" s="15"/>
      <c r="E47" s="15"/>
      <c r="F47" s="15"/>
    </row>
    <row r="48" spans="1:6">
      <c r="A48" s="35"/>
    </row>
    <row r="49" spans="1:1">
      <c r="A49" s="35"/>
    </row>
    <row r="50" spans="1:1">
      <c r="A50" s="35"/>
    </row>
    <row r="51" spans="1:1">
      <c r="A51" s="35"/>
    </row>
  </sheetData>
  <sheetProtection password="9D9B" sheet="1" objects="1" scenarios="1"/>
  <mergeCells count="1">
    <mergeCell ref="B1:D1"/>
  </mergeCells>
  <pageMargins left="0.7" right="0.7" top="0.75" bottom="0.75" header="0.3" footer="0.3"/>
  <pageSetup paperSize="17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36"/>
  <sheetViews>
    <sheetView topLeftCell="A6" workbookViewId="0">
      <selection activeCell="J41" sqref="J41"/>
    </sheetView>
  </sheetViews>
  <sheetFormatPr defaultRowHeight="15"/>
  <cols>
    <col min="1" max="1" width="16" customWidth="1"/>
    <col min="2" max="10" width="0" hidden="1" customWidth="1"/>
    <col min="11" max="11" width="19.7109375" customWidth="1"/>
    <col min="12" max="13" width="0" hidden="1" customWidth="1"/>
    <col min="14" max="14" width="23.7109375" bestFit="1" customWidth="1"/>
    <col min="15" max="26" width="0" hidden="1" customWidth="1"/>
    <col min="27" max="27" width="9.5703125" bestFit="1" customWidth="1"/>
    <col min="28" max="28" width="0" hidden="1" customWidth="1"/>
    <col min="29" max="29" width="12.140625" bestFit="1" customWidth="1"/>
    <col min="30" max="30" width="18.140625" customWidth="1"/>
    <col min="31" max="41" width="8.85546875" hidden="1" customWidth="1"/>
    <col min="42" max="42" width="20.28515625" customWidth="1"/>
    <col min="43" max="43" width="9.140625" customWidth="1"/>
    <col min="44" max="46" width="8.85546875" customWidth="1"/>
    <col min="47" max="47" width="36.85546875" customWidth="1"/>
  </cols>
  <sheetData>
    <row r="1" spans="1:43" ht="76.5">
      <c r="A1" s="124" t="s">
        <v>74</v>
      </c>
      <c r="B1" s="255" t="s">
        <v>0</v>
      </c>
      <c r="C1" s="255" t="s">
        <v>67</v>
      </c>
      <c r="D1" s="256" t="s">
        <v>86</v>
      </c>
      <c r="E1" s="267" t="s">
        <v>79</v>
      </c>
      <c r="F1" s="255" t="s">
        <v>51</v>
      </c>
      <c r="G1" s="255" t="s">
        <v>55</v>
      </c>
      <c r="H1" s="257" t="s">
        <v>71</v>
      </c>
      <c r="I1" s="258" t="s">
        <v>46</v>
      </c>
      <c r="J1" s="223" t="s">
        <v>73</v>
      </c>
      <c r="K1" s="224" t="s">
        <v>2</v>
      </c>
      <c r="L1" s="225" t="s">
        <v>3</v>
      </c>
      <c r="M1" s="226" t="s">
        <v>1</v>
      </c>
      <c r="N1" s="45"/>
      <c r="O1" s="176" t="s">
        <v>77</v>
      </c>
      <c r="P1" s="44" t="s">
        <v>87</v>
      </c>
      <c r="Q1" s="261" t="s">
        <v>81</v>
      </c>
      <c r="R1" s="277" t="s">
        <v>83</v>
      </c>
      <c r="S1" s="189" t="s">
        <v>70</v>
      </c>
      <c r="T1" s="189" t="s">
        <v>56</v>
      </c>
      <c r="U1" s="190" t="s">
        <v>52</v>
      </c>
      <c r="V1" s="190" t="s">
        <v>82</v>
      </c>
      <c r="W1" s="191" t="s">
        <v>78</v>
      </c>
      <c r="X1" s="179" t="s">
        <v>84</v>
      </c>
      <c r="Y1" s="187" t="s">
        <v>53</v>
      </c>
      <c r="Z1" s="186" t="s">
        <v>73</v>
      </c>
      <c r="AA1" s="286" t="s">
        <v>2</v>
      </c>
      <c r="AB1" s="188" t="s">
        <v>22</v>
      </c>
      <c r="AD1" s="45"/>
      <c r="AE1" s="202" t="s">
        <v>38</v>
      </c>
      <c r="AF1" s="282" t="s">
        <v>88</v>
      </c>
      <c r="AG1" s="202" t="s">
        <v>75</v>
      </c>
      <c r="AH1" s="203" t="s">
        <v>57</v>
      </c>
      <c r="AI1" s="204" t="s">
        <v>42</v>
      </c>
      <c r="AJ1" s="195" t="s">
        <v>25</v>
      </c>
      <c r="AK1" s="195" t="s">
        <v>85</v>
      </c>
      <c r="AL1" s="205" t="s">
        <v>89</v>
      </c>
      <c r="AM1" s="205" t="s">
        <v>76</v>
      </c>
      <c r="AN1" s="206" t="s">
        <v>39</v>
      </c>
      <c r="AO1" s="186" t="s">
        <v>73</v>
      </c>
      <c r="AP1" s="192" t="s">
        <v>2</v>
      </c>
      <c r="AQ1" s="193" t="s">
        <v>3</v>
      </c>
    </row>
    <row r="2" spans="1:43" ht="63.75">
      <c r="A2" s="124"/>
      <c r="B2" s="236" t="s">
        <v>4</v>
      </c>
      <c r="C2" s="236" t="s">
        <v>4</v>
      </c>
      <c r="D2" s="237" t="s">
        <v>4</v>
      </c>
      <c r="E2" s="269" t="s">
        <v>4</v>
      </c>
      <c r="F2" s="236" t="s">
        <v>4</v>
      </c>
      <c r="G2" s="236" t="s">
        <v>4</v>
      </c>
      <c r="H2" s="238" t="s">
        <v>80</v>
      </c>
      <c r="I2" s="236" t="s">
        <v>4</v>
      </c>
      <c r="J2" s="227" t="s">
        <v>4</v>
      </c>
      <c r="K2" s="228" t="s">
        <v>4</v>
      </c>
      <c r="L2" s="229" t="s">
        <v>4</v>
      </c>
      <c r="M2" s="230" t="s">
        <v>4</v>
      </c>
      <c r="N2" s="43"/>
      <c r="O2" s="174" t="s">
        <v>4</v>
      </c>
      <c r="P2" s="134" t="s">
        <v>4</v>
      </c>
      <c r="Q2" s="125" t="s">
        <v>4</v>
      </c>
      <c r="R2" s="137" t="s">
        <v>4</v>
      </c>
      <c r="S2" s="136" t="s">
        <v>4</v>
      </c>
      <c r="T2" s="136" t="s">
        <v>4</v>
      </c>
      <c r="U2" s="137" t="s">
        <v>4</v>
      </c>
      <c r="V2" s="137" t="s">
        <v>4</v>
      </c>
      <c r="W2" s="137" t="s">
        <v>4</v>
      </c>
      <c r="X2" s="180" t="s">
        <v>4</v>
      </c>
      <c r="Y2" s="135" t="s">
        <v>4</v>
      </c>
      <c r="Z2" s="138" t="s">
        <v>4</v>
      </c>
      <c r="AA2" s="185" t="s">
        <v>24</v>
      </c>
      <c r="AB2" s="139" t="s">
        <v>24</v>
      </c>
      <c r="AD2" s="45"/>
      <c r="AE2" s="202" t="s">
        <v>4</v>
      </c>
      <c r="AF2" s="202" t="s">
        <v>4</v>
      </c>
      <c r="AG2" s="203" t="s">
        <v>24</v>
      </c>
      <c r="AH2" s="198" t="s">
        <v>4</v>
      </c>
      <c r="AI2" s="207" t="s">
        <v>4</v>
      </c>
      <c r="AJ2" s="197" t="s">
        <v>4</v>
      </c>
      <c r="AK2" s="197" t="s">
        <v>4</v>
      </c>
      <c r="AL2" s="203" t="s">
        <v>24</v>
      </c>
      <c r="AM2" s="203" t="s">
        <v>24</v>
      </c>
      <c r="AN2" s="208" t="s">
        <v>4</v>
      </c>
      <c r="AO2" s="57" t="s">
        <v>4</v>
      </c>
      <c r="AP2" s="58" t="s">
        <v>4</v>
      </c>
      <c r="AQ2" s="59" t="s">
        <v>4</v>
      </c>
    </row>
    <row r="3" spans="1:43">
      <c r="A3" s="82" t="s">
        <v>23</v>
      </c>
      <c r="B3" s="236"/>
      <c r="C3" s="238"/>
      <c r="D3" s="239"/>
      <c r="E3" s="270"/>
      <c r="F3" s="238"/>
      <c r="G3" s="238"/>
      <c r="H3" s="238"/>
      <c r="I3" s="236"/>
      <c r="J3" s="231"/>
      <c r="K3" s="224"/>
      <c r="L3" s="232"/>
      <c r="M3" s="226"/>
      <c r="N3" s="48" t="s">
        <v>23</v>
      </c>
      <c r="O3" s="163"/>
      <c r="P3" s="134"/>
      <c r="Q3" s="65"/>
      <c r="R3" s="140"/>
      <c r="S3" s="136"/>
      <c r="T3" s="136"/>
      <c r="U3" s="136"/>
      <c r="V3" s="140"/>
      <c r="W3" s="136"/>
      <c r="X3" s="177"/>
      <c r="Y3" s="135"/>
      <c r="Z3" s="138"/>
      <c r="AA3" s="185"/>
      <c r="AB3" s="142"/>
      <c r="AD3" s="96" t="s">
        <v>23</v>
      </c>
      <c r="AE3" s="60"/>
      <c r="AF3" s="278"/>
      <c r="AG3" s="165"/>
      <c r="AH3" s="61"/>
      <c r="AI3" s="47"/>
      <c r="AJ3" s="46"/>
      <c r="AK3" s="198"/>
      <c r="AL3" s="165"/>
      <c r="AM3" s="165"/>
      <c r="AN3" s="62"/>
      <c r="AO3" s="63"/>
      <c r="AP3" s="58"/>
      <c r="AQ3" s="64"/>
    </row>
    <row r="4" spans="1:43">
      <c r="A4" s="82" t="s">
        <v>30</v>
      </c>
      <c r="B4" s="236"/>
      <c r="C4" s="238"/>
      <c r="D4" s="239"/>
      <c r="E4" s="222"/>
      <c r="F4" s="238"/>
      <c r="G4" s="238"/>
      <c r="H4" s="238"/>
      <c r="I4" s="236"/>
      <c r="J4" s="231"/>
      <c r="K4" s="224"/>
      <c r="L4" s="232"/>
      <c r="M4" s="226"/>
      <c r="N4" s="51" t="s">
        <v>5</v>
      </c>
      <c r="O4" s="175">
        <v>1000</v>
      </c>
      <c r="P4" s="262">
        <v>750</v>
      </c>
      <c r="Q4" s="65"/>
      <c r="R4" s="144"/>
      <c r="S4" s="143">
        <v>750</v>
      </c>
      <c r="T4" s="143">
        <v>500</v>
      </c>
      <c r="U4" s="135"/>
      <c r="V4" s="144"/>
      <c r="W4" s="135"/>
      <c r="X4" s="178"/>
      <c r="Y4" s="135"/>
      <c r="Z4" s="145"/>
      <c r="AA4" s="185">
        <f>T4+S4+O4</f>
        <v>2250</v>
      </c>
      <c r="AB4" s="142">
        <f>P4</f>
        <v>750</v>
      </c>
      <c r="AD4" s="97" t="s">
        <v>5</v>
      </c>
      <c r="AE4" s="61"/>
      <c r="AF4" s="279"/>
      <c r="AG4" s="133"/>
      <c r="AH4" s="61"/>
      <c r="AI4" s="99"/>
      <c r="AJ4" s="46"/>
      <c r="AK4" s="198"/>
      <c r="AL4" s="283">
        <v>500</v>
      </c>
      <c r="AM4" s="283">
        <v>500</v>
      </c>
      <c r="AN4" s="103">
        <v>200</v>
      </c>
      <c r="AO4" s="86"/>
      <c r="AP4" s="49"/>
      <c r="AQ4" s="91">
        <f>AN4+AM4+AL4</f>
        <v>1200</v>
      </c>
    </row>
    <row r="5" spans="1:43">
      <c r="A5" s="126" t="s">
        <v>29</v>
      </c>
      <c r="B5" s="236"/>
      <c r="C5" s="240">
        <v>8000</v>
      </c>
      <c r="D5" s="239"/>
      <c r="E5" s="222"/>
      <c r="F5" s="238"/>
      <c r="G5" s="238"/>
      <c r="H5" s="238"/>
      <c r="I5" s="236"/>
      <c r="J5" s="231"/>
      <c r="K5" s="224"/>
      <c r="L5" s="232">
        <f>C5</f>
        <v>8000</v>
      </c>
      <c r="M5" s="226"/>
      <c r="N5" s="51" t="s">
        <v>6</v>
      </c>
      <c r="O5" s="175">
        <v>2000</v>
      </c>
      <c r="P5" s="264">
        <v>2000</v>
      </c>
      <c r="Q5" s="65"/>
      <c r="R5" s="144"/>
      <c r="S5" s="143">
        <v>2000</v>
      </c>
      <c r="T5" s="143">
        <v>1500</v>
      </c>
      <c r="U5" s="135"/>
      <c r="V5" s="144"/>
      <c r="W5" s="135"/>
      <c r="X5" s="178"/>
      <c r="Y5" s="135"/>
      <c r="Z5" s="145"/>
      <c r="AA5" s="185">
        <f>T5+S5+O5</f>
        <v>5500</v>
      </c>
      <c r="AB5" s="142">
        <f>P5</f>
        <v>2000</v>
      </c>
      <c r="AD5" s="97" t="s">
        <v>5</v>
      </c>
      <c r="AE5" s="92"/>
      <c r="AF5" s="279"/>
      <c r="AG5" s="133"/>
      <c r="AH5" s="92"/>
      <c r="AI5" s="101"/>
      <c r="AJ5" s="85"/>
      <c r="AK5" s="198"/>
      <c r="AL5" s="133"/>
      <c r="AM5" s="133"/>
      <c r="AN5" s="92"/>
      <c r="AO5" s="102"/>
      <c r="AP5" s="104"/>
      <c r="AQ5" s="94">
        <f>AN5</f>
        <v>0</v>
      </c>
    </row>
    <row r="6" spans="1:43">
      <c r="A6" s="126" t="s">
        <v>30</v>
      </c>
      <c r="B6" s="236"/>
      <c r="C6" s="241">
        <v>7200</v>
      </c>
      <c r="D6" s="239"/>
      <c r="E6" s="222"/>
      <c r="F6" s="238"/>
      <c r="G6" s="238"/>
      <c r="H6" s="238"/>
      <c r="I6" s="236"/>
      <c r="J6" s="231"/>
      <c r="K6" s="224">
        <f>C6</f>
        <v>7200</v>
      </c>
      <c r="L6" s="232"/>
      <c r="M6" s="226"/>
      <c r="N6" s="51" t="s">
        <v>7</v>
      </c>
      <c r="O6" s="175">
        <v>250</v>
      </c>
      <c r="P6" s="264">
        <v>250</v>
      </c>
      <c r="Q6" s="65"/>
      <c r="R6" s="144"/>
      <c r="S6" s="143">
        <v>250</v>
      </c>
      <c r="T6" s="143">
        <v>250</v>
      </c>
      <c r="U6" s="135"/>
      <c r="V6" s="144"/>
      <c r="W6" s="135"/>
      <c r="X6" s="178"/>
      <c r="Y6" s="135"/>
      <c r="Z6" s="145"/>
      <c r="AA6" s="185">
        <f>T6+S6+O6</f>
        <v>750</v>
      </c>
      <c r="AB6" s="142">
        <f>P6</f>
        <v>250</v>
      </c>
      <c r="AD6" s="97" t="s">
        <v>6</v>
      </c>
      <c r="AE6" s="92"/>
      <c r="AF6" s="279"/>
      <c r="AG6" s="133"/>
      <c r="AH6" s="92"/>
      <c r="AI6" s="101"/>
      <c r="AJ6" s="85"/>
      <c r="AK6" s="198"/>
      <c r="AL6" s="283">
        <v>1200</v>
      </c>
      <c r="AM6" s="283">
        <v>1200</v>
      </c>
      <c r="AN6" s="103">
        <v>1200</v>
      </c>
      <c r="AO6" s="102"/>
      <c r="AP6" s="104"/>
      <c r="AQ6" s="94">
        <f>AN6+AM6+AL6</f>
        <v>3600</v>
      </c>
    </row>
    <row r="7" spans="1:43">
      <c r="A7" s="83" t="s">
        <v>5</v>
      </c>
      <c r="B7" s="236"/>
      <c r="C7" s="241">
        <v>2000</v>
      </c>
      <c r="D7" s="259">
        <v>1000</v>
      </c>
      <c r="E7" s="222"/>
      <c r="F7" s="238"/>
      <c r="G7" s="238"/>
      <c r="H7" s="238"/>
      <c r="I7" s="242"/>
      <c r="J7" s="231"/>
      <c r="K7" s="224">
        <f>C7+D7</f>
        <v>3000</v>
      </c>
      <c r="L7" s="232"/>
      <c r="M7" s="226"/>
      <c r="N7" s="51" t="s">
        <v>44</v>
      </c>
      <c r="O7" s="175">
        <v>250</v>
      </c>
      <c r="P7" s="264">
        <v>250</v>
      </c>
      <c r="Q7" s="127"/>
      <c r="R7" s="144"/>
      <c r="S7" s="143">
        <v>250</v>
      </c>
      <c r="T7" s="143">
        <v>150</v>
      </c>
      <c r="U7" s="135"/>
      <c r="V7" s="144"/>
      <c r="W7" s="135"/>
      <c r="X7" s="178"/>
      <c r="Y7" s="135"/>
      <c r="Z7" s="145"/>
      <c r="AA7" s="185">
        <f>T7+S7+O7</f>
        <v>650</v>
      </c>
      <c r="AB7" s="142">
        <f>P7</f>
        <v>250</v>
      </c>
      <c r="AD7" s="97" t="s">
        <v>6</v>
      </c>
      <c r="AE7" s="87"/>
      <c r="AF7" s="280"/>
      <c r="AG7" s="166"/>
      <c r="AH7" s="61"/>
      <c r="AI7" s="99"/>
      <c r="AJ7" s="46"/>
      <c r="AK7" s="198"/>
      <c r="AL7" s="133"/>
      <c r="AM7" s="133"/>
      <c r="AN7" s="92"/>
      <c r="AO7" s="86"/>
      <c r="AP7" s="49"/>
      <c r="AQ7" s="91"/>
    </row>
    <row r="8" spans="1:43">
      <c r="A8" s="83" t="s">
        <v>6</v>
      </c>
      <c r="B8" s="236"/>
      <c r="C8" s="241">
        <v>6000</v>
      </c>
      <c r="D8" s="259">
        <v>3000</v>
      </c>
      <c r="E8" s="222"/>
      <c r="F8" s="238"/>
      <c r="G8" s="238"/>
      <c r="H8" s="243">
        <v>3000</v>
      </c>
      <c r="I8" s="244"/>
      <c r="J8" s="231"/>
      <c r="K8" s="224">
        <f>C8+D8</f>
        <v>9000</v>
      </c>
      <c r="L8" s="232">
        <f>H8</f>
        <v>3000</v>
      </c>
      <c r="M8" s="226"/>
      <c r="N8" s="51" t="s">
        <v>9</v>
      </c>
      <c r="O8" s="175">
        <v>1500</v>
      </c>
      <c r="P8" s="263">
        <v>1500</v>
      </c>
      <c r="Q8" s="128"/>
      <c r="R8" s="150"/>
      <c r="S8" s="141">
        <v>1500</v>
      </c>
      <c r="T8" s="141">
        <v>700</v>
      </c>
      <c r="U8" s="146">
        <v>1000</v>
      </c>
      <c r="V8" s="150"/>
      <c r="W8" s="149"/>
      <c r="X8" s="266">
        <v>7500</v>
      </c>
      <c r="Y8" s="147"/>
      <c r="Z8" s="145"/>
      <c r="AA8" s="185">
        <f>X8+U8+T8+S8+O8</f>
        <v>12200</v>
      </c>
      <c r="AB8" s="142">
        <f>P8</f>
        <v>1500</v>
      </c>
      <c r="AD8" s="97" t="s">
        <v>7</v>
      </c>
      <c r="AE8" s="61"/>
      <c r="AF8" s="279"/>
      <c r="AG8" s="133"/>
      <c r="AH8" s="61"/>
      <c r="AI8" s="99"/>
      <c r="AJ8" s="46"/>
      <c r="AK8" s="198"/>
      <c r="AL8" s="283">
        <v>200</v>
      </c>
      <c r="AM8" s="283">
        <v>200</v>
      </c>
      <c r="AN8" s="103">
        <v>200</v>
      </c>
      <c r="AO8" s="86"/>
      <c r="AP8" s="49"/>
      <c r="AQ8" s="91">
        <f>AN8+AM8+AL8</f>
        <v>600</v>
      </c>
    </row>
    <row r="9" spans="1:43">
      <c r="A9" s="83" t="s">
        <v>7</v>
      </c>
      <c r="B9" s="236"/>
      <c r="C9" s="245">
        <v>1000</v>
      </c>
      <c r="D9" s="246"/>
      <c r="E9" s="222"/>
      <c r="F9" s="236"/>
      <c r="G9" s="236"/>
      <c r="H9" s="236"/>
      <c r="I9" s="236"/>
      <c r="J9" s="231"/>
      <c r="K9" s="224">
        <v>1000</v>
      </c>
      <c r="L9" s="232"/>
      <c r="M9" s="226"/>
      <c r="N9" s="51" t="s">
        <v>10</v>
      </c>
      <c r="O9" s="181">
        <v>1100</v>
      </c>
      <c r="P9" s="151">
        <v>1100</v>
      </c>
      <c r="Q9" s="65"/>
      <c r="R9" s="150"/>
      <c r="S9" s="145">
        <v>1100</v>
      </c>
      <c r="T9" s="145">
        <v>1100</v>
      </c>
      <c r="U9" s="149"/>
      <c r="V9" s="150"/>
      <c r="W9" s="149"/>
      <c r="X9" s="154"/>
      <c r="Y9" s="147"/>
      <c r="Z9" s="145">
        <f>T9+S9+P9+O9</f>
        <v>4400</v>
      </c>
      <c r="AA9" s="185"/>
      <c r="AB9" s="142"/>
      <c r="AD9" s="97" t="s">
        <v>8</v>
      </c>
      <c r="AE9" s="61"/>
      <c r="AF9" s="279"/>
      <c r="AG9" s="133"/>
      <c r="AH9" s="61"/>
      <c r="AI9" s="105"/>
      <c r="AJ9" s="46"/>
      <c r="AK9" s="198"/>
      <c r="AL9" s="133"/>
      <c r="AM9" s="133"/>
      <c r="AN9" s="92"/>
      <c r="AO9" s="89"/>
      <c r="AP9" s="106"/>
      <c r="AQ9" s="91"/>
    </row>
    <row r="10" spans="1:43">
      <c r="A10" s="83" t="s">
        <v>44</v>
      </c>
      <c r="B10" s="236"/>
      <c r="C10" s="228">
        <v>500</v>
      </c>
      <c r="D10" s="246"/>
      <c r="E10" s="222"/>
      <c r="F10" s="236"/>
      <c r="G10" s="236"/>
      <c r="H10" s="236"/>
      <c r="I10" s="236"/>
      <c r="J10" s="231"/>
      <c r="K10" s="224">
        <f>C10</f>
        <v>500</v>
      </c>
      <c r="L10" s="232"/>
      <c r="M10" s="226"/>
      <c r="N10" s="51" t="s">
        <v>11</v>
      </c>
      <c r="O10" s="175">
        <v>2500</v>
      </c>
      <c r="P10" s="263">
        <v>1600</v>
      </c>
      <c r="Q10" s="65"/>
      <c r="R10" s="150"/>
      <c r="S10" s="141">
        <v>1600</v>
      </c>
      <c r="T10" s="141">
        <v>750</v>
      </c>
      <c r="U10" s="149"/>
      <c r="V10" s="150"/>
      <c r="W10" s="149"/>
      <c r="X10" s="154"/>
      <c r="Y10" s="147"/>
      <c r="Z10" s="145"/>
      <c r="AA10" s="185">
        <f>T10+S10+O10</f>
        <v>4850</v>
      </c>
      <c r="AB10" s="142">
        <f>P10</f>
        <v>1600</v>
      </c>
      <c r="AD10" s="97" t="s">
        <v>9</v>
      </c>
      <c r="AE10" s="61"/>
      <c r="AF10" s="279"/>
      <c r="AG10" s="133"/>
      <c r="AH10" s="61"/>
      <c r="AI10" s="58">
        <v>2450</v>
      </c>
      <c r="AJ10" s="59">
        <v>13000</v>
      </c>
      <c r="AK10" s="287">
        <v>4000</v>
      </c>
      <c r="AL10" s="133"/>
      <c r="AM10" s="133"/>
      <c r="AN10" s="94">
        <v>1000</v>
      </c>
      <c r="AO10" s="108"/>
      <c r="AP10" s="58">
        <f>AI10</f>
        <v>2450</v>
      </c>
      <c r="AQ10" s="91">
        <f>AN10+AK10+AJ10</f>
        <v>18000</v>
      </c>
    </row>
    <row r="11" spans="1:43">
      <c r="A11" s="83" t="s">
        <v>9</v>
      </c>
      <c r="B11" s="236"/>
      <c r="C11" s="228">
        <v>3500</v>
      </c>
      <c r="D11" s="260">
        <v>18000</v>
      </c>
      <c r="E11" s="274">
        <v>2100</v>
      </c>
      <c r="F11" s="236"/>
      <c r="G11" s="228">
        <v>12000</v>
      </c>
      <c r="H11" s="236"/>
      <c r="I11" s="247"/>
      <c r="J11" s="231"/>
      <c r="K11" s="224">
        <f>G11+C11+D11+E11</f>
        <v>35600</v>
      </c>
      <c r="L11" s="233"/>
      <c r="M11" s="234"/>
      <c r="N11" s="51" t="s">
        <v>12</v>
      </c>
      <c r="O11" s="175">
        <v>500</v>
      </c>
      <c r="P11" s="152"/>
      <c r="Q11" s="84"/>
      <c r="R11" s="150"/>
      <c r="S11" s="147"/>
      <c r="T11" s="147"/>
      <c r="U11" s="153"/>
      <c r="V11" s="153"/>
      <c r="W11" s="149"/>
      <c r="X11" s="154"/>
      <c r="Y11" s="147"/>
      <c r="Z11" s="145"/>
      <c r="AA11" s="185">
        <f>O11</f>
        <v>500</v>
      </c>
      <c r="AB11" s="142"/>
      <c r="AD11" s="97" t="s">
        <v>9</v>
      </c>
      <c r="AE11" s="92"/>
      <c r="AF11" s="279"/>
      <c r="AG11" s="133"/>
      <c r="AH11" s="92"/>
      <c r="AI11" s="85"/>
      <c r="AJ11" s="85"/>
      <c r="AK11" s="198"/>
      <c r="AL11" s="283">
        <v>1000</v>
      </c>
      <c r="AM11" s="283">
        <v>1000</v>
      </c>
      <c r="AN11" s="94">
        <v>1000</v>
      </c>
      <c r="AO11" s="66"/>
      <c r="AP11" s="107"/>
      <c r="AQ11" s="94">
        <f>AN11+AM11+AL11</f>
        <v>3000</v>
      </c>
    </row>
    <row r="12" spans="1:43">
      <c r="A12" s="83" t="s">
        <v>9</v>
      </c>
      <c r="B12" s="236"/>
      <c r="C12" s="236"/>
      <c r="D12" s="246"/>
      <c r="E12" s="222"/>
      <c r="F12" s="236"/>
      <c r="G12" s="236"/>
      <c r="H12" s="236"/>
      <c r="I12" s="248">
        <v>5000</v>
      </c>
      <c r="J12" s="231"/>
      <c r="K12" s="224"/>
      <c r="L12" s="233">
        <f>I12</f>
        <v>5000</v>
      </c>
      <c r="M12" s="234"/>
      <c r="N12" s="51" t="s">
        <v>13</v>
      </c>
      <c r="O12" s="164"/>
      <c r="P12" s="152"/>
      <c r="Q12" s="129"/>
      <c r="R12" s="150"/>
      <c r="S12" s="147"/>
      <c r="T12" s="147"/>
      <c r="U12" s="149"/>
      <c r="V12" s="150"/>
      <c r="W12" s="149"/>
      <c r="X12" s="154"/>
      <c r="Y12" s="147"/>
      <c r="Z12" s="145"/>
      <c r="AA12" s="185"/>
      <c r="AB12" s="142"/>
      <c r="AD12" s="97" t="s">
        <v>10</v>
      </c>
      <c r="AE12" s="61"/>
      <c r="AF12" s="279"/>
      <c r="AG12" s="133"/>
      <c r="AH12" s="61"/>
      <c r="AI12" s="46"/>
      <c r="AJ12" s="46"/>
      <c r="AK12" s="198"/>
      <c r="AL12" s="172">
        <v>1100</v>
      </c>
      <c r="AM12" s="172">
        <v>1100</v>
      </c>
      <c r="AN12" s="102">
        <v>1100</v>
      </c>
      <c r="AO12" s="108">
        <f>AN12+AM12+AL12</f>
        <v>3300</v>
      </c>
      <c r="AP12" s="58"/>
      <c r="AQ12" s="91"/>
    </row>
    <row r="13" spans="1:43">
      <c r="A13" s="126" t="s">
        <v>31</v>
      </c>
      <c r="B13" s="227">
        <v>4000</v>
      </c>
      <c r="C13" s="236"/>
      <c r="D13" s="246"/>
      <c r="E13" s="222"/>
      <c r="F13" s="236"/>
      <c r="G13" s="236"/>
      <c r="H13" s="236"/>
      <c r="I13" s="236"/>
      <c r="J13" s="231">
        <f>B13</f>
        <v>4000</v>
      </c>
      <c r="K13" s="224">
        <f>F13</f>
        <v>0</v>
      </c>
      <c r="L13" s="233"/>
      <c r="M13" s="234"/>
      <c r="N13" s="51" t="s">
        <v>37</v>
      </c>
      <c r="O13" s="164"/>
      <c r="P13" s="152"/>
      <c r="Q13" s="65"/>
      <c r="R13" s="150"/>
      <c r="S13" s="147"/>
      <c r="T13" s="147"/>
      <c r="U13" s="149"/>
      <c r="V13" s="150"/>
      <c r="W13" s="149"/>
      <c r="X13" s="154"/>
      <c r="Y13" s="147"/>
      <c r="Z13" s="145"/>
      <c r="AA13" s="185"/>
      <c r="AB13" s="142"/>
      <c r="AD13" s="97" t="s">
        <v>11</v>
      </c>
      <c r="AE13" s="87"/>
      <c r="AF13" s="280"/>
      <c r="AG13" s="166"/>
      <c r="AH13" s="87"/>
      <c r="AI13" s="99"/>
      <c r="AJ13" s="55"/>
      <c r="AK13" s="199"/>
      <c r="AL13" s="168">
        <v>1000</v>
      </c>
      <c r="AM13" s="168">
        <v>1000</v>
      </c>
      <c r="AN13" s="94">
        <v>1200</v>
      </c>
      <c r="AO13" s="86"/>
      <c r="AP13" s="49"/>
      <c r="AQ13" s="91">
        <f>AN13+AM13+AL13</f>
        <v>3200</v>
      </c>
    </row>
    <row r="14" spans="1:43">
      <c r="A14" s="126" t="s">
        <v>31</v>
      </c>
      <c r="B14" s="249"/>
      <c r="C14" s="236"/>
      <c r="D14" s="246"/>
      <c r="E14" s="222"/>
      <c r="F14" s="236"/>
      <c r="G14" s="236"/>
      <c r="H14" s="236"/>
      <c r="I14" s="236"/>
      <c r="J14" s="231"/>
      <c r="K14" s="224"/>
      <c r="L14" s="233"/>
      <c r="M14" s="234"/>
      <c r="N14" s="51" t="s">
        <v>45</v>
      </c>
      <c r="O14" s="175">
        <v>500</v>
      </c>
      <c r="P14" s="152"/>
      <c r="Q14" s="65"/>
      <c r="R14" s="150"/>
      <c r="S14" s="147"/>
      <c r="T14" s="155"/>
      <c r="U14" s="149"/>
      <c r="V14" s="150"/>
      <c r="W14" s="149"/>
      <c r="X14" s="154"/>
      <c r="Y14" s="147"/>
      <c r="Z14" s="145"/>
      <c r="AA14" s="185">
        <f>O14</f>
        <v>500</v>
      </c>
      <c r="AB14" s="142"/>
      <c r="AD14" s="97" t="s">
        <v>12</v>
      </c>
      <c r="AE14" s="87"/>
      <c r="AF14" s="280"/>
      <c r="AG14" s="166"/>
      <c r="AH14" s="87"/>
      <c r="AI14" s="99"/>
      <c r="AJ14" s="55"/>
      <c r="AK14" s="199"/>
      <c r="AL14" s="173"/>
      <c r="AM14" s="173"/>
      <c r="AN14" s="109"/>
      <c r="AO14" s="86"/>
      <c r="AP14" s="49"/>
      <c r="AQ14" s="91"/>
    </row>
    <row r="15" spans="1:43">
      <c r="A15" s="126" t="s">
        <v>32</v>
      </c>
      <c r="B15" s="227">
        <v>20000</v>
      </c>
      <c r="C15" s="236"/>
      <c r="D15" s="246"/>
      <c r="E15" s="222"/>
      <c r="F15" s="236"/>
      <c r="G15" s="236"/>
      <c r="H15" s="236"/>
      <c r="I15" s="250"/>
      <c r="J15" s="231">
        <f>B15</f>
        <v>20000</v>
      </c>
      <c r="K15" s="224"/>
      <c r="L15" s="233"/>
      <c r="M15" s="234"/>
      <c r="N15" s="51" t="s">
        <v>15</v>
      </c>
      <c r="O15" s="164"/>
      <c r="P15" s="152"/>
      <c r="Q15" s="123"/>
      <c r="R15" s="265"/>
      <c r="S15" s="141">
        <v>100</v>
      </c>
      <c r="T15" s="141">
        <v>100</v>
      </c>
      <c r="U15" s="149"/>
      <c r="V15" s="148">
        <v>7500</v>
      </c>
      <c r="W15" s="146">
        <v>500</v>
      </c>
      <c r="X15" s="154"/>
      <c r="Y15" s="147"/>
      <c r="Z15" s="145"/>
      <c r="AA15" s="185">
        <f>W15+T15+S15+V15</f>
        <v>8200</v>
      </c>
      <c r="AB15" s="142"/>
      <c r="AD15" s="97" t="s">
        <v>13</v>
      </c>
      <c r="AE15" s="87"/>
      <c r="AF15" s="280"/>
      <c r="AG15" s="166"/>
      <c r="AH15" s="87"/>
      <c r="AI15" s="99"/>
      <c r="AJ15" s="289">
        <v>1000</v>
      </c>
      <c r="AK15" s="288">
        <v>500</v>
      </c>
      <c r="AL15" s="166"/>
      <c r="AM15" s="166"/>
      <c r="AN15" s="93"/>
      <c r="AO15" s="86"/>
      <c r="AP15" s="49"/>
      <c r="AQ15" s="91">
        <f>AK15+AJ15</f>
        <v>1500</v>
      </c>
    </row>
    <row r="16" spans="1:43">
      <c r="A16" s="83" t="s">
        <v>10</v>
      </c>
      <c r="B16" s="236"/>
      <c r="C16" s="227">
        <v>1100</v>
      </c>
      <c r="D16" s="246"/>
      <c r="E16" s="222"/>
      <c r="F16" s="236"/>
      <c r="G16" s="236"/>
      <c r="H16" s="236"/>
      <c r="I16" s="236"/>
      <c r="J16" s="231">
        <f>C16</f>
        <v>1100</v>
      </c>
      <c r="K16" s="235"/>
      <c r="L16" s="233"/>
      <c r="M16" s="234"/>
      <c r="N16" s="51" t="s">
        <v>16</v>
      </c>
      <c r="O16" s="164"/>
      <c r="P16" s="152"/>
      <c r="Q16" s="65"/>
      <c r="R16" s="157">
        <v>5000</v>
      </c>
      <c r="S16" s="147"/>
      <c r="T16" s="147"/>
      <c r="U16" s="149"/>
      <c r="V16" s="148">
        <v>12500</v>
      </c>
      <c r="W16" s="146">
        <v>8000</v>
      </c>
      <c r="X16" s="154"/>
      <c r="Y16" s="147"/>
      <c r="Z16" s="145"/>
      <c r="AA16" s="185" t="e">
        <f>'AVP  Health'!#REF!+W16+V16</f>
        <v>#REF!</v>
      </c>
      <c r="AB16" s="142">
        <f>R16</f>
        <v>5000</v>
      </c>
      <c r="AD16" s="97" t="s">
        <v>14</v>
      </c>
      <c r="AE16" s="87"/>
      <c r="AF16" s="280"/>
      <c r="AG16" s="166"/>
      <c r="AH16" s="90">
        <v>750</v>
      </c>
      <c r="AI16" s="99"/>
      <c r="AJ16" s="81"/>
      <c r="AK16" s="81"/>
      <c r="AL16" s="166"/>
      <c r="AM16" s="166"/>
      <c r="AN16" s="93"/>
      <c r="AO16" s="86"/>
      <c r="AP16" s="49">
        <f>AH16</f>
        <v>750</v>
      </c>
      <c r="AQ16" s="91"/>
    </row>
    <row r="17" spans="1:43">
      <c r="A17" s="83" t="s">
        <v>11</v>
      </c>
      <c r="B17" s="236"/>
      <c r="C17" s="228">
        <v>2500</v>
      </c>
      <c r="D17" s="246"/>
      <c r="E17" s="222"/>
      <c r="F17" s="236"/>
      <c r="G17" s="236"/>
      <c r="H17" s="236"/>
      <c r="I17" s="236"/>
      <c r="J17" s="231"/>
      <c r="K17" s="235">
        <f>C17</f>
        <v>2500</v>
      </c>
      <c r="L17" s="233"/>
      <c r="M17" s="234"/>
      <c r="N17" s="51" t="s">
        <v>17</v>
      </c>
      <c r="O17" s="164"/>
      <c r="P17" s="152"/>
      <c r="Q17" s="65"/>
      <c r="R17" s="150"/>
      <c r="S17" s="147"/>
      <c r="T17" s="147"/>
      <c r="U17" s="149"/>
      <c r="V17" s="150"/>
      <c r="W17" s="149"/>
      <c r="X17" s="154"/>
      <c r="Y17" s="147"/>
      <c r="Z17" s="145"/>
      <c r="AA17" s="185"/>
      <c r="AB17" s="142"/>
      <c r="AD17" s="97" t="s">
        <v>15</v>
      </c>
      <c r="AE17" s="87"/>
      <c r="AF17" s="280"/>
      <c r="AG17" s="166"/>
      <c r="AH17" s="87"/>
      <c r="AI17" s="49">
        <v>500</v>
      </c>
      <c r="AJ17" s="289">
        <v>1000</v>
      </c>
      <c r="AK17" s="288">
        <v>500</v>
      </c>
      <c r="AL17" s="166"/>
      <c r="AM17" s="166"/>
      <c r="AN17" s="93"/>
      <c r="AO17" s="86"/>
      <c r="AP17" s="49">
        <f>AI17</f>
        <v>500</v>
      </c>
      <c r="AQ17" s="91">
        <f>AK17+AJ17</f>
        <v>1500</v>
      </c>
    </row>
    <row r="18" spans="1:43">
      <c r="A18" s="83" t="s">
        <v>68</v>
      </c>
      <c r="B18" s="236"/>
      <c r="C18" s="228">
        <v>1500</v>
      </c>
      <c r="D18" s="246"/>
      <c r="E18" s="222"/>
      <c r="F18" s="236"/>
      <c r="G18" s="236"/>
      <c r="H18" s="236"/>
      <c r="I18" s="236"/>
      <c r="J18" s="231"/>
      <c r="K18" s="235">
        <f>C18</f>
        <v>1500</v>
      </c>
      <c r="L18" s="233"/>
      <c r="M18" s="234"/>
      <c r="N18" s="51" t="s">
        <v>18</v>
      </c>
      <c r="O18" s="164"/>
      <c r="P18" s="152"/>
      <c r="Q18" s="65"/>
      <c r="R18" s="150"/>
      <c r="S18" s="141">
        <v>150</v>
      </c>
      <c r="T18" s="141">
        <v>150</v>
      </c>
      <c r="U18" s="149"/>
      <c r="V18" s="150"/>
      <c r="W18" s="149"/>
      <c r="X18" s="154"/>
      <c r="Y18" s="147"/>
      <c r="Z18" s="145"/>
      <c r="AA18" s="185">
        <f>T18+S18</f>
        <v>300</v>
      </c>
      <c r="AB18" s="142"/>
      <c r="AD18" s="97" t="s">
        <v>15</v>
      </c>
      <c r="AE18" s="90">
        <v>300</v>
      </c>
      <c r="AF18" s="280"/>
      <c r="AG18" s="166"/>
      <c r="AH18" s="87"/>
      <c r="AI18" s="99"/>
      <c r="AJ18" s="55"/>
      <c r="AK18" s="199"/>
      <c r="AL18" s="166"/>
      <c r="AM18" s="166"/>
      <c r="AN18" s="93"/>
      <c r="AO18" s="86"/>
      <c r="AP18" s="49">
        <f>AE18</f>
        <v>300</v>
      </c>
      <c r="AQ18" s="91"/>
    </row>
    <row r="19" spans="1:43">
      <c r="A19" s="83" t="s">
        <v>69</v>
      </c>
      <c r="B19" s="236"/>
      <c r="C19" s="228">
        <v>2000</v>
      </c>
      <c r="D19" s="246"/>
      <c r="E19" s="222"/>
      <c r="F19" s="228">
        <v>3000</v>
      </c>
      <c r="G19" s="236"/>
      <c r="H19" s="236"/>
      <c r="I19" s="236"/>
      <c r="J19" s="231"/>
      <c r="K19" s="235">
        <f>F19+C19</f>
        <v>5000</v>
      </c>
      <c r="L19" s="233"/>
      <c r="M19" s="234"/>
      <c r="N19" s="51" t="s">
        <v>19</v>
      </c>
      <c r="O19" s="164"/>
      <c r="P19" s="152"/>
      <c r="Q19" s="194">
        <v>75000</v>
      </c>
      <c r="R19" s="156">
        <v>5000</v>
      </c>
      <c r="S19" s="147"/>
      <c r="T19" s="147"/>
      <c r="U19" s="149"/>
      <c r="V19" s="148">
        <v>20000</v>
      </c>
      <c r="W19" s="146">
        <v>2000</v>
      </c>
      <c r="X19" s="154"/>
      <c r="Y19" s="158">
        <v>3500</v>
      </c>
      <c r="Z19" s="145"/>
      <c r="AA19" s="146">
        <f>W19+V19</f>
        <v>22000</v>
      </c>
      <c r="AB19" s="142">
        <f>Y19+R19+Q19</f>
        <v>83500</v>
      </c>
      <c r="AD19" s="97" t="s">
        <v>15</v>
      </c>
      <c r="AE19" s="91">
        <v>1200</v>
      </c>
      <c r="AF19" s="281">
        <v>500</v>
      </c>
      <c r="AG19" s="166"/>
      <c r="AH19" s="87"/>
      <c r="AI19" s="99"/>
      <c r="AJ19" s="55"/>
      <c r="AK19" s="199"/>
      <c r="AL19" s="166"/>
      <c r="AM19" s="166"/>
      <c r="AN19" s="93"/>
      <c r="AO19" s="86"/>
      <c r="AP19" s="49"/>
      <c r="AQ19" s="91">
        <f>AF19+AE19</f>
        <v>1700</v>
      </c>
    </row>
    <row r="20" spans="1:43">
      <c r="A20" s="83" t="s">
        <v>13</v>
      </c>
      <c r="B20" s="248">
        <v>2000</v>
      </c>
      <c r="C20" s="236"/>
      <c r="D20" s="251"/>
      <c r="E20" s="222"/>
      <c r="F20" s="236"/>
      <c r="G20" s="236"/>
      <c r="H20" s="236"/>
      <c r="I20" s="236"/>
      <c r="J20" s="231"/>
      <c r="K20" s="235"/>
      <c r="L20" s="233">
        <f>B20</f>
        <v>2000</v>
      </c>
      <c r="M20" s="234"/>
      <c r="N20" s="51" t="s">
        <v>20</v>
      </c>
      <c r="O20" s="164"/>
      <c r="P20" s="152"/>
      <c r="Q20" s="65"/>
      <c r="R20" s="150"/>
      <c r="S20" s="147"/>
      <c r="T20" s="147"/>
      <c r="U20" s="149"/>
      <c r="V20" s="150"/>
      <c r="W20" s="149"/>
      <c r="X20" s="154"/>
      <c r="Y20" s="147"/>
      <c r="Z20" s="145"/>
      <c r="AA20" s="185"/>
      <c r="AB20" s="142"/>
      <c r="AD20" s="97" t="s">
        <v>16</v>
      </c>
      <c r="AE20" s="91">
        <v>1500</v>
      </c>
      <c r="AF20" s="281">
        <v>1000</v>
      </c>
      <c r="AG20" s="166"/>
      <c r="AH20" s="87"/>
      <c r="AI20" s="49">
        <v>1000</v>
      </c>
      <c r="AJ20" s="289">
        <v>500</v>
      </c>
      <c r="AK20" s="288">
        <v>500</v>
      </c>
      <c r="AL20" s="166"/>
      <c r="AM20" s="166"/>
      <c r="AN20" s="93"/>
      <c r="AO20" s="86"/>
      <c r="AP20" s="49">
        <f>AI20</f>
        <v>1000</v>
      </c>
      <c r="AQ20" s="91">
        <f>AK20+AJ20+AF20+AE20</f>
        <v>3500</v>
      </c>
    </row>
    <row r="21" spans="1:43">
      <c r="A21" s="83" t="s">
        <v>33</v>
      </c>
      <c r="B21" s="229">
        <v>2000</v>
      </c>
      <c r="C21" s="236"/>
      <c r="D21" s="251"/>
      <c r="E21" s="222"/>
      <c r="F21" s="236"/>
      <c r="G21" s="236"/>
      <c r="H21" s="236"/>
      <c r="I21" s="236"/>
      <c r="J21" s="231"/>
      <c r="K21" s="235"/>
      <c r="L21" s="233">
        <f>B21</f>
        <v>2000</v>
      </c>
      <c r="M21" s="234"/>
      <c r="N21" s="51" t="s">
        <v>21</v>
      </c>
      <c r="O21" s="164"/>
      <c r="P21" s="152"/>
      <c r="Q21" s="65"/>
      <c r="R21" s="150"/>
      <c r="S21" s="147"/>
      <c r="T21" s="147"/>
      <c r="U21" s="149"/>
      <c r="V21" s="150"/>
      <c r="W21" s="149"/>
      <c r="X21" s="154"/>
      <c r="Y21" s="147"/>
      <c r="Z21" s="183"/>
      <c r="AA21" s="182"/>
      <c r="AB21" s="184"/>
      <c r="AD21" s="169" t="s">
        <v>16</v>
      </c>
      <c r="AE21" s="166"/>
      <c r="AF21" s="280"/>
      <c r="AG21" s="167">
        <v>1400</v>
      </c>
      <c r="AH21" s="166"/>
      <c r="AI21" s="196"/>
      <c r="AJ21" s="201"/>
      <c r="AK21" s="199"/>
      <c r="AL21" s="166"/>
      <c r="AM21" s="166"/>
      <c r="AN21" s="166"/>
      <c r="AO21" s="171"/>
      <c r="AP21" s="170">
        <f>AG21</f>
        <v>1400</v>
      </c>
      <c r="AQ21" s="168"/>
    </row>
    <row r="22" spans="1:43">
      <c r="A22" s="83" t="s">
        <v>34</v>
      </c>
      <c r="B22" s="229">
        <v>2000</v>
      </c>
      <c r="C22" s="236"/>
      <c r="D22" s="251"/>
      <c r="E22" s="270"/>
      <c r="F22" s="236"/>
      <c r="G22" s="236"/>
      <c r="H22" s="236"/>
      <c r="I22" s="250"/>
      <c r="J22" s="231"/>
      <c r="K22" s="235"/>
      <c r="L22" s="233">
        <f>B22</f>
        <v>2000</v>
      </c>
      <c r="M22" s="234"/>
      <c r="N22" s="210"/>
      <c r="O22" s="160"/>
      <c r="P22" s="159"/>
      <c r="Q22" s="211"/>
      <c r="R22" s="161"/>
      <c r="S22" s="159"/>
      <c r="T22" s="159"/>
      <c r="U22" s="161"/>
      <c r="V22" s="161"/>
      <c r="W22" s="161"/>
      <c r="X22" s="161"/>
      <c r="Y22" s="159"/>
      <c r="Z22" s="212"/>
      <c r="AA22" s="213"/>
      <c r="AB22" s="214"/>
      <c r="AD22" s="97" t="s">
        <v>17</v>
      </c>
      <c r="AE22" s="87"/>
      <c r="AF22" s="280"/>
      <c r="AG22" s="166"/>
      <c r="AH22" s="87"/>
      <c r="AI22" s="99"/>
      <c r="AJ22" s="289">
        <v>500</v>
      </c>
      <c r="AK22" s="288">
        <v>500</v>
      </c>
      <c r="AL22" s="166"/>
      <c r="AM22" s="166"/>
      <c r="AN22" s="93"/>
      <c r="AO22" s="86"/>
      <c r="AP22" s="49"/>
      <c r="AQ22" s="91">
        <f>AK22+AJ22</f>
        <v>1000</v>
      </c>
    </row>
    <row r="23" spans="1:43">
      <c r="A23" s="83" t="s">
        <v>45</v>
      </c>
      <c r="B23" s="236"/>
      <c r="C23" s="249"/>
      <c r="D23" s="251"/>
      <c r="E23" s="271"/>
      <c r="F23" s="249"/>
      <c r="G23" s="245">
        <v>2000</v>
      </c>
      <c r="H23" s="248">
        <v>3000</v>
      </c>
      <c r="I23" s="249"/>
      <c r="J23" s="231"/>
      <c r="K23" s="235">
        <f>G23</f>
        <v>2000</v>
      </c>
      <c r="L23" s="233">
        <f>H23</f>
        <v>3000</v>
      </c>
      <c r="M23" s="234"/>
      <c r="N23" s="215" t="s">
        <v>28</v>
      </c>
      <c r="O23" s="216">
        <f>SUM(O3:O22)</f>
        <v>9600</v>
      </c>
      <c r="P23" s="209">
        <f>SUM(P4:P22)</f>
        <v>7450</v>
      </c>
      <c r="Q23" s="217">
        <f>SUM(Q3:Q22)</f>
        <v>75000</v>
      </c>
      <c r="R23" s="218">
        <f t="shared" ref="R23:Y23" si="0">SUM(R4:R22)</f>
        <v>10000</v>
      </c>
      <c r="S23" s="209">
        <f t="shared" si="0"/>
        <v>7700</v>
      </c>
      <c r="T23" s="209">
        <f t="shared" si="0"/>
        <v>5200</v>
      </c>
      <c r="U23" s="218">
        <f t="shared" si="0"/>
        <v>1000</v>
      </c>
      <c r="V23" s="218">
        <f t="shared" si="0"/>
        <v>40000</v>
      </c>
      <c r="W23" s="218">
        <f t="shared" si="0"/>
        <v>10500</v>
      </c>
      <c r="X23" s="218">
        <f t="shared" si="0"/>
        <v>7500</v>
      </c>
      <c r="Y23" s="209">
        <f t="shared" si="0"/>
        <v>3500</v>
      </c>
      <c r="Z23" s="219">
        <f>SUM(Z9:Z22)</f>
        <v>4400</v>
      </c>
      <c r="AA23" s="220" t="e">
        <f>SUM(AA4:AA22)</f>
        <v>#REF!</v>
      </c>
      <c r="AB23" s="221">
        <f>SUM(AB3:AB22)</f>
        <v>94850</v>
      </c>
      <c r="AD23" s="97" t="s">
        <v>41</v>
      </c>
      <c r="AE23" s="87"/>
      <c r="AF23" s="280"/>
      <c r="AG23" s="166"/>
      <c r="AH23" s="87"/>
      <c r="AI23" s="110">
        <v>500</v>
      </c>
      <c r="AJ23" s="289">
        <v>1000</v>
      </c>
      <c r="AK23" s="288">
        <v>500</v>
      </c>
      <c r="AL23" s="166"/>
      <c r="AM23" s="166"/>
      <c r="AN23" s="93"/>
      <c r="AO23" s="86"/>
      <c r="AP23" s="49">
        <f>AI23</f>
        <v>500</v>
      </c>
      <c r="AQ23" s="91">
        <f>AK23+AJ23</f>
        <v>1500</v>
      </c>
    </row>
    <row r="24" spans="1:43">
      <c r="A24" s="83" t="s">
        <v>35</v>
      </c>
      <c r="B24" s="229">
        <v>500</v>
      </c>
      <c r="C24" s="236"/>
      <c r="D24" s="251"/>
      <c r="E24" s="272"/>
      <c r="F24" s="236"/>
      <c r="G24" s="236"/>
      <c r="H24" s="236"/>
      <c r="I24" s="236"/>
      <c r="J24" s="231"/>
      <c r="K24" s="235"/>
      <c r="L24" s="233">
        <f>B24</f>
        <v>500</v>
      </c>
      <c r="M24" s="234"/>
      <c r="N24" s="50"/>
      <c r="O24" s="131"/>
      <c r="P24" s="50"/>
      <c r="Q24" s="50"/>
      <c r="R24" s="56"/>
      <c r="S24" s="50"/>
      <c r="T24" s="50"/>
      <c r="U24" s="56"/>
      <c r="V24" s="56"/>
      <c r="W24" s="56"/>
      <c r="X24" s="56"/>
      <c r="Y24" s="50"/>
      <c r="Z24" s="162"/>
      <c r="AA24" s="56"/>
      <c r="AB24" s="50"/>
      <c r="AD24" s="97" t="s">
        <v>41</v>
      </c>
      <c r="AE24" s="91">
        <v>1000</v>
      </c>
      <c r="AF24" s="281">
        <v>1000</v>
      </c>
      <c r="AG24" s="166"/>
      <c r="AH24" s="87"/>
      <c r="AI24" s="98"/>
      <c r="AJ24" s="55"/>
      <c r="AK24" s="199"/>
      <c r="AL24" s="166"/>
      <c r="AM24" s="166"/>
      <c r="AN24" s="93"/>
      <c r="AO24" s="86"/>
      <c r="AP24" s="49"/>
      <c r="AQ24" s="91">
        <f>AF24+AE24</f>
        <v>2000</v>
      </c>
    </row>
    <row r="25" spans="1:43">
      <c r="A25" s="83" t="s">
        <v>35</v>
      </c>
      <c r="B25" s="227">
        <v>5000</v>
      </c>
      <c r="C25" s="236"/>
      <c r="D25" s="252"/>
      <c r="E25" s="272"/>
      <c r="F25" s="236"/>
      <c r="G25" s="236"/>
      <c r="H25" s="236"/>
      <c r="I25" s="236"/>
      <c r="J25" s="231">
        <f>B25</f>
        <v>5000</v>
      </c>
      <c r="K25" s="235"/>
      <c r="L25" s="233"/>
      <c r="M25" s="234"/>
      <c r="N25" s="50"/>
      <c r="O25" s="131"/>
      <c r="P25" s="50"/>
      <c r="Q25" s="50"/>
      <c r="R25" s="275"/>
      <c r="S25" s="50"/>
      <c r="T25" s="50"/>
      <c r="U25" s="56"/>
      <c r="V25" s="56"/>
      <c r="W25" s="56"/>
      <c r="X25" s="56"/>
      <c r="Y25" s="132">
        <f>O23+P23+Q23+R23+S23+T23+U23+V23+W23+X23+Y23</f>
        <v>177450</v>
      </c>
      <c r="Z25" s="276" t="e">
        <f>Z23+AA23+AB23</f>
        <v>#REF!</v>
      </c>
      <c r="AA25" s="81"/>
      <c r="AB25" s="50"/>
      <c r="AD25" s="97" t="s">
        <v>21</v>
      </c>
      <c r="AE25" s="87"/>
      <c r="AF25" s="280"/>
      <c r="AG25" s="166"/>
      <c r="AH25" s="87"/>
      <c r="AI25" s="99"/>
      <c r="AJ25" s="55"/>
      <c r="AK25" s="199"/>
      <c r="AL25" s="166"/>
      <c r="AM25" s="166"/>
      <c r="AN25" s="93"/>
      <c r="AO25" s="86"/>
      <c r="AP25" s="49"/>
      <c r="AQ25" s="91"/>
    </row>
    <row r="26" spans="1:43" ht="15.75" thickBot="1">
      <c r="A26" s="83" t="s">
        <v>15</v>
      </c>
      <c r="B26" s="227">
        <v>1500</v>
      </c>
      <c r="C26" s="236"/>
      <c r="D26" s="251"/>
      <c r="E26" s="272"/>
      <c r="F26" s="236"/>
      <c r="G26" s="236"/>
      <c r="H26" s="236"/>
      <c r="I26" s="236"/>
      <c r="J26" s="231">
        <f>B26</f>
        <v>1500</v>
      </c>
      <c r="K26" s="235"/>
      <c r="L26" s="233"/>
      <c r="M26" s="234"/>
      <c r="AD26" s="111"/>
      <c r="AE26" s="112"/>
      <c r="AF26" s="112"/>
      <c r="AG26" s="112"/>
      <c r="AH26" s="112"/>
      <c r="AI26" s="52"/>
      <c r="AJ26" s="53"/>
      <c r="AK26" s="53"/>
      <c r="AL26" s="112"/>
      <c r="AM26" s="112"/>
      <c r="AN26" s="112"/>
      <c r="AO26" s="113"/>
      <c r="AP26" s="54"/>
      <c r="AQ26" s="114"/>
    </row>
    <row r="27" spans="1:43" ht="15.75" thickBot="1">
      <c r="A27" s="83" t="s">
        <v>15</v>
      </c>
      <c r="B27" s="236"/>
      <c r="C27" s="236"/>
      <c r="D27" s="246"/>
      <c r="E27" s="272"/>
      <c r="F27" s="236"/>
      <c r="G27" s="236"/>
      <c r="H27" s="236"/>
      <c r="I27" s="236"/>
      <c r="J27" s="231"/>
      <c r="K27" s="235"/>
      <c r="L27" s="233"/>
      <c r="M27" s="234"/>
      <c r="AD27" s="115" t="s">
        <v>28</v>
      </c>
      <c r="AE27" s="67">
        <f>SUM(AE9:AE26)</f>
        <v>4000</v>
      </c>
      <c r="AF27" s="67">
        <f>SUM(AF6:AF26)</f>
        <v>2500</v>
      </c>
      <c r="AG27" s="67">
        <f>SUM(AG8:AG26)</f>
        <v>1400</v>
      </c>
      <c r="AH27" s="68">
        <f>AH16</f>
        <v>750</v>
      </c>
      <c r="AI27" s="67">
        <f>AI23+AI20+AI17+AI10</f>
        <v>4450</v>
      </c>
      <c r="AJ27" s="69">
        <f>AJ23+AJ22+AJ20+AJ17+AJ15+AJ10</f>
        <v>17000</v>
      </c>
      <c r="AK27" s="200">
        <f>SUM(AK9:AK26)</f>
        <v>6500</v>
      </c>
      <c r="AL27" s="67">
        <f>SUM(AL3:AL26)</f>
        <v>5000</v>
      </c>
      <c r="AM27" s="67">
        <f>SUM(AM3:AM26)</f>
        <v>5000</v>
      </c>
      <c r="AN27" s="67">
        <f>SUM(AN3:AN26)</f>
        <v>5900</v>
      </c>
      <c r="AO27" s="70">
        <f>SUM(AO4:AO26)</f>
        <v>3300</v>
      </c>
      <c r="AP27" s="71">
        <f>SUM(AP4:AP26)</f>
        <v>6900</v>
      </c>
      <c r="AQ27" s="72">
        <f>SUM(AQ3:AQ26)</f>
        <v>42300</v>
      </c>
    </row>
    <row r="28" spans="1:43">
      <c r="A28" s="83" t="s">
        <v>16</v>
      </c>
      <c r="B28" s="236"/>
      <c r="C28" s="236"/>
      <c r="D28" s="222"/>
      <c r="E28" s="273">
        <v>600</v>
      </c>
      <c r="F28" s="236"/>
      <c r="G28" s="236"/>
      <c r="H28" s="236"/>
      <c r="I28" s="236"/>
      <c r="J28" s="231"/>
      <c r="K28" s="235">
        <f>E28</f>
        <v>600</v>
      </c>
      <c r="L28" s="233"/>
      <c r="M28" s="234"/>
      <c r="AD28" s="116"/>
      <c r="AE28" s="73"/>
      <c r="AF28" s="73"/>
      <c r="AG28" s="73"/>
      <c r="AH28" s="73"/>
      <c r="AI28" s="74"/>
      <c r="AJ28" s="117"/>
      <c r="AK28" s="117"/>
      <c r="AL28" s="75"/>
      <c r="AM28" s="75"/>
      <c r="AN28" s="75"/>
      <c r="AO28" s="118"/>
      <c r="AP28" s="119"/>
      <c r="AQ28" s="120"/>
    </row>
    <row r="29" spans="1:43" ht="15.75" thickBot="1">
      <c r="A29" s="83" t="s">
        <v>17</v>
      </c>
      <c r="B29" s="236"/>
      <c r="C29" s="236"/>
      <c r="D29" s="222"/>
      <c r="E29" s="272"/>
      <c r="F29" s="236"/>
      <c r="G29" s="236"/>
      <c r="H29" s="236"/>
      <c r="I29" s="236"/>
      <c r="J29" s="231"/>
      <c r="K29" s="235"/>
      <c r="L29" s="233"/>
      <c r="M29" s="234"/>
      <c r="AD29" s="88"/>
      <c r="AE29" s="95"/>
      <c r="AF29" s="95"/>
      <c r="AG29" s="95"/>
      <c r="AH29" s="95"/>
      <c r="AI29" s="98"/>
      <c r="AJ29" s="81"/>
      <c r="AK29" s="81"/>
      <c r="AL29" s="95"/>
      <c r="AM29" s="95"/>
      <c r="AN29" s="95"/>
      <c r="AO29" s="121"/>
      <c r="AP29" s="122"/>
      <c r="AQ29" s="76"/>
    </row>
    <row r="30" spans="1:43" ht="15.75" thickBot="1">
      <c r="A30" s="83" t="s">
        <v>36</v>
      </c>
      <c r="B30" s="230">
        <v>150000</v>
      </c>
      <c r="C30" s="236"/>
      <c r="D30" s="222"/>
      <c r="E30" s="272"/>
      <c r="F30" s="236"/>
      <c r="G30" s="236"/>
      <c r="H30" s="236"/>
      <c r="I30" s="253"/>
      <c r="J30" s="231"/>
      <c r="K30" s="235"/>
      <c r="L30" s="233"/>
      <c r="M30" s="234">
        <f>B30</f>
        <v>150000</v>
      </c>
      <c r="AD30" s="77" t="s">
        <v>27</v>
      </c>
      <c r="AE30" s="95"/>
      <c r="AF30" s="95"/>
      <c r="AG30" s="95"/>
      <c r="AH30" s="95"/>
      <c r="AI30" s="98"/>
      <c r="AJ30" s="284"/>
      <c r="AK30" s="100">
        <f>AE27+AF27+AG27+AH27+AI27+AJ27+AK27+AL27+AM27+AN27</f>
        <v>52500</v>
      </c>
      <c r="AL30" s="285">
        <f>AO30+AP30+AQ30</f>
        <v>52500</v>
      </c>
      <c r="AM30" s="76"/>
      <c r="AN30" s="95"/>
      <c r="AO30" s="78">
        <f>AO27</f>
        <v>3300</v>
      </c>
      <c r="AP30" s="79">
        <f>AP27</f>
        <v>6900</v>
      </c>
      <c r="AQ30" s="80">
        <f>AQ27</f>
        <v>42300</v>
      </c>
    </row>
    <row r="31" spans="1:43">
      <c r="A31" s="83" t="s">
        <v>40</v>
      </c>
      <c r="B31" s="254"/>
      <c r="C31" s="236"/>
      <c r="D31" s="222"/>
      <c r="E31" s="272"/>
      <c r="F31" s="236"/>
      <c r="G31" s="236"/>
      <c r="H31" s="236"/>
      <c r="I31" s="253"/>
      <c r="J31" s="231"/>
      <c r="K31" s="235"/>
      <c r="L31" s="233"/>
      <c r="M31" s="234"/>
      <c r="AD31" s="88"/>
      <c r="AE31" s="88"/>
      <c r="AF31" s="88"/>
      <c r="AG31" s="88"/>
      <c r="AH31" s="88"/>
      <c r="AI31" s="98"/>
      <c r="AJ31" s="100"/>
      <c r="AK31" s="100"/>
      <c r="AL31" s="95"/>
      <c r="AM31" s="95"/>
      <c r="AN31" s="95"/>
      <c r="AO31" s="88"/>
      <c r="AP31" s="98"/>
      <c r="AQ31" s="88"/>
    </row>
    <row r="32" spans="1:43">
      <c r="A32" s="83" t="s">
        <v>20</v>
      </c>
      <c r="B32" s="228">
        <v>5000</v>
      </c>
      <c r="C32" s="236"/>
      <c r="D32" s="222"/>
      <c r="E32" s="272"/>
      <c r="F32" s="236"/>
      <c r="G32" s="236"/>
      <c r="H32" s="236"/>
      <c r="I32" s="253"/>
      <c r="J32" s="231"/>
      <c r="K32" s="235">
        <f>B32</f>
        <v>5000</v>
      </c>
      <c r="L32" s="233"/>
      <c r="M32" s="234"/>
      <c r="AC32" s="290" t="e">
        <f>K34+AA23+AP30</f>
        <v>#REF!</v>
      </c>
      <c r="AD32" s="88"/>
      <c r="AE32" s="88"/>
      <c r="AF32" s="88"/>
      <c r="AG32" s="88"/>
      <c r="AH32" s="88"/>
      <c r="AI32" s="98"/>
      <c r="AJ32" s="100"/>
      <c r="AK32" s="100"/>
      <c r="AL32" s="88"/>
      <c r="AM32" s="88"/>
      <c r="AN32" s="95"/>
      <c r="AO32" s="95"/>
      <c r="AP32" s="98"/>
      <c r="AQ32" s="88"/>
    </row>
    <row r="33" spans="1:13">
      <c r="A33" s="83" t="s">
        <v>21</v>
      </c>
      <c r="B33" s="249"/>
      <c r="C33" s="236"/>
      <c r="D33" s="222"/>
      <c r="E33" s="272"/>
      <c r="F33" s="236"/>
      <c r="G33" s="236"/>
      <c r="H33" s="229">
        <v>1000</v>
      </c>
      <c r="I33" s="253"/>
      <c r="J33" s="231"/>
      <c r="K33" s="235"/>
      <c r="L33" s="233">
        <f>H33+B33</f>
        <v>1000</v>
      </c>
      <c r="M33" s="234"/>
    </row>
    <row r="34" spans="1:13">
      <c r="A34" s="83"/>
      <c r="B34" s="236">
        <f>SUM(B5:B33)</f>
        <v>192000</v>
      </c>
      <c r="C34" s="236">
        <f>SUM(C5:C33)</f>
        <v>35300</v>
      </c>
      <c r="D34" s="222">
        <f>SUM(D3:D33)</f>
        <v>22000</v>
      </c>
      <c r="E34" s="272">
        <f>SUM(E11:E33)</f>
        <v>2700</v>
      </c>
      <c r="F34" s="236">
        <f>SUM(F5:F33)</f>
        <v>3000</v>
      </c>
      <c r="G34" s="249">
        <f>SUM(G5:G33)</f>
        <v>14000</v>
      </c>
      <c r="H34" s="236">
        <f>SUM(H5:H33)</f>
        <v>7000</v>
      </c>
      <c r="I34" s="249">
        <f>SUM(I5:I33)</f>
        <v>5000</v>
      </c>
      <c r="J34" s="231"/>
      <c r="K34" s="235">
        <f>SUM(K6:K33)</f>
        <v>72900</v>
      </c>
      <c r="L34" s="233"/>
      <c r="M34" s="234"/>
    </row>
    <row r="35" spans="1:13">
      <c r="A35" s="130" t="s">
        <v>27</v>
      </c>
      <c r="B35" s="236"/>
      <c r="C35" s="236"/>
      <c r="D35" s="222"/>
      <c r="E35" s="268"/>
      <c r="F35" s="236"/>
      <c r="G35" s="236"/>
      <c r="H35" s="236"/>
      <c r="I35" s="250"/>
      <c r="J35" s="231">
        <f>SUM(J13:J34)</f>
        <v>31600</v>
      </c>
      <c r="L35" s="233">
        <f>SUM(L5:L34)</f>
        <v>26500</v>
      </c>
      <c r="M35" s="234">
        <f>SUM(M14:M34)</f>
        <v>150000</v>
      </c>
    </row>
    <row r="36" spans="1:13">
      <c r="A36" s="56"/>
      <c r="B36" s="56"/>
      <c r="C36" s="56"/>
      <c r="D36" s="132"/>
      <c r="E36" s="50"/>
      <c r="F36" s="56"/>
      <c r="G36" s="56"/>
      <c r="H36" s="56"/>
      <c r="I36" s="132"/>
      <c r="J36" s="56"/>
      <c r="K36" s="56"/>
      <c r="L36" s="56"/>
      <c r="M36" s="56"/>
    </row>
  </sheetData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S198"/>
  <sheetViews>
    <sheetView tabSelected="1" zoomScale="90" zoomScaleNormal="90" zoomScalePageLayoutView="80" workbookViewId="0">
      <pane xSplit="1" topLeftCell="B1" activePane="topRight" state="frozen"/>
      <selection pane="topRight" activeCell="G26" sqref="G26"/>
    </sheetView>
  </sheetViews>
  <sheetFormatPr defaultColWidth="18.7109375" defaultRowHeight="12"/>
  <cols>
    <col min="1" max="1" width="33.42578125" style="321" bestFit="1" customWidth="1"/>
    <col min="2" max="2" width="11.140625" style="321" bestFit="1" customWidth="1"/>
    <col min="3" max="3" width="11.5703125" style="321" bestFit="1" customWidth="1"/>
    <col min="4" max="5" width="9.7109375" style="321" bestFit="1" customWidth="1"/>
    <col min="6" max="6" width="8.5703125" style="321" bestFit="1" customWidth="1"/>
    <col min="7" max="7" width="8.28515625" style="321" bestFit="1" customWidth="1"/>
    <col min="8" max="8" width="9.42578125" style="321" bestFit="1" customWidth="1"/>
    <col min="9" max="9" width="9.140625" style="321" customWidth="1"/>
    <col min="10" max="11" width="9.7109375" style="321" bestFit="1" customWidth="1"/>
    <col min="12" max="12" width="8.28515625" style="321" bestFit="1" customWidth="1"/>
    <col min="13" max="13" width="7.140625" style="321" bestFit="1" customWidth="1"/>
    <col min="14" max="14" width="9.7109375" style="321" bestFit="1" customWidth="1"/>
    <col min="15" max="15" width="10.5703125" style="321" bestFit="1" customWidth="1"/>
    <col min="16" max="16" width="11.140625" style="321" bestFit="1" customWidth="1"/>
    <col min="17" max="17" width="9.7109375" style="321" bestFit="1" customWidth="1"/>
    <col min="18" max="18" width="10.140625" style="321" bestFit="1" customWidth="1"/>
    <col min="19" max="19" width="9.140625" style="321" bestFit="1" customWidth="1"/>
    <col min="20" max="20" width="10.140625" style="15" bestFit="1" customWidth="1"/>
    <col min="21" max="21" width="11.42578125" style="15" bestFit="1" customWidth="1"/>
    <col min="22" max="22" width="9.42578125" style="321" bestFit="1" customWidth="1"/>
    <col min="23" max="23" width="11.140625" style="321" bestFit="1" customWidth="1"/>
    <col min="24" max="24" width="10.140625" style="321" bestFit="1" customWidth="1"/>
    <col min="25" max="25" width="10.5703125" style="321" bestFit="1" customWidth="1"/>
    <col min="26" max="26" width="9.42578125" style="321" bestFit="1" customWidth="1"/>
    <col min="27" max="27" width="9.85546875" style="321" bestFit="1" customWidth="1"/>
    <col min="28" max="28" width="9.140625" style="321" bestFit="1" customWidth="1"/>
    <col min="29" max="29" width="9.42578125" style="321" customWidth="1"/>
    <col min="30" max="30" width="8" style="321" bestFit="1" customWidth="1"/>
    <col min="31" max="31" width="11.140625" style="321" bestFit="1" customWidth="1"/>
    <col min="32" max="32" width="12.140625" style="321" customWidth="1"/>
    <col min="33" max="33" width="14.140625" style="321" customWidth="1"/>
    <col min="34" max="34" width="12" style="15" customWidth="1"/>
    <col min="35" max="35" width="11.85546875" style="15" customWidth="1"/>
    <col min="36" max="36" width="12.5703125" style="15" customWidth="1"/>
    <col min="37" max="37" width="10.7109375" style="15" customWidth="1"/>
    <col min="38" max="16384" width="18.7109375" style="1"/>
  </cols>
  <sheetData>
    <row r="1" spans="1:37" s="16" customFormat="1" ht="36.75" customHeight="1">
      <c r="A1" s="668"/>
      <c r="B1" s="891" t="s">
        <v>0</v>
      </c>
      <c r="C1" s="891"/>
      <c r="D1" s="891" t="s">
        <v>111</v>
      </c>
      <c r="E1" s="891"/>
      <c r="F1" s="891" t="s">
        <v>241</v>
      </c>
      <c r="G1" s="891"/>
      <c r="H1" s="891" t="s">
        <v>114</v>
      </c>
      <c r="I1" s="891"/>
      <c r="J1" s="887" t="s">
        <v>130</v>
      </c>
      <c r="K1" s="887"/>
      <c r="L1" s="887" t="s">
        <v>333</v>
      </c>
      <c r="M1" s="887"/>
      <c r="N1" s="910" t="s">
        <v>338</v>
      </c>
      <c r="O1" s="911"/>
      <c r="P1" s="905" t="s">
        <v>216</v>
      </c>
      <c r="Q1" s="905"/>
      <c r="R1" s="884" t="s">
        <v>207</v>
      </c>
      <c r="S1" s="885"/>
      <c r="T1" s="886" t="s">
        <v>206</v>
      </c>
      <c r="U1" s="887"/>
      <c r="V1" s="890" t="s">
        <v>357</v>
      </c>
      <c r="W1" s="890"/>
      <c r="X1" s="892" t="s">
        <v>205</v>
      </c>
      <c r="Y1" s="893"/>
      <c r="Z1" s="894" t="s">
        <v>204</v>
      </c>
      <c r="AA1" s="894"/>
      <c r="AB1" s="881" t="s">
        <v>178</v>
      </c>
      <c r="AC1" s="898"/>
      <c r="AD1" s="700"/>
      <c r="AE1" s="700"/>
      <c r="AF1" s="700"/>
      <c r="AG1" s="700"/>
    </row>
    <row r="2" spans="1:37" s="665" customFormat="1">
      <c r="A2" s="903" t="s">
        <v>172</v>
      </c>
      <c r="B2" s="901" t="s">
        <v>4</v>
      </c>
      <c r="C2" s="901" t="s">
        <v>93</v>
      </c>
      <c r="D2" s="901" t="s">
        <v>4</v>
      </c>
      <c r="E2" s="901" t="s">
        <v>93</v>
      </c>
      <c r="F2" s="901" t="s">
        <v>4</v>
      </c>
      <c r="G2" s="901" t="s">
        <v>93</v>
      </c>
      <c r="H2" s="901" t="s">
        <v>4</v>
      </c>
      <c r="I2" s="901" t="s">
        <v>93</v>
      </c>
      <c r="J2" s="901" t="s">
        <v>4</v>
      </c>
      <c r="K2" s="901" t="s">
        <v>93</v>
      </c>
      <c r="L2" s="901" t="s">
        <v>4</v>
      </c>
      <c r="M2" s="901" t="s">
        <v>93</v>
      </c>
      <c r="N2" s="901" t="s">
        <v>4</v>
      </c>
      <c r="O2" s="901" t="s">
        <v>93</v>
      </c>
      <c r="P2" s="901" t="s">
        <v>4</v>
      </c>
      <c r="Q2" s="901" t="s">
        <v>93</v>
      </c>
      <c r="R2" s="902" t="s">
        <v>4</v>
      </c>
      <c r="S2" s="902" t="s">
        <v>94</v>
      </c>
      <c r="T2" s="897" t="s">
        <v>4</v>
      </c>
      <c r="U2" s="897" t="s">
        <v>94</v>
      </c>
      <c r="V2" s="888" t="s">
        <v>259</v>
      </c>
      <c r="W2" s="888" t="s">
        <v>260</v>
      </c>
      <c r="X2" s="899" t="s">
        <v>4</v>
      </c>
      <c r="Y2" s="899" t="s">
        <v>94</v>
      </c>
      <c r="Z2" s="900" t="s">
        <v>112</v>
      </c>
      <c r="AA2" s="900" t="s">
        <v>93</v>
      </c>
      <c r="AB2" s="895" t="s">
        <v>112</v>
      </c>
      <c r="AC2" s="895" t="s">
        <v>93</v>
      </c>
      <c r="AD2" s="701"/>
      <c r="AE2" s="701"/>
      <c r="AF2" s="701"/>
      <c r="AG2" s="701"/>
    </row>
    <row r="3" spans="1:37" s="665" customFormat="1">
      <c r="A3" s="904"/>
      <c r="B3" s="898"/>
      <c r="C3" s="898"/>
      <c r="D3" s="898"/>
      <c r="E3" s="898"/>
      <c r="F3" s="898"/>
      <c r="G3" s="898"/>
      <c r="H3" s="898"/>
      <c r="I3" s="898"/>
      <c r="J3" s="898"/>
      <c r="K3" s="898"/>
      <c r="L3" s="898"/>
      <c r="M3" s="898"/>
      <c r="N3" s="898"/>
      <c r="O3" s="898"/>
      <c r="P3" s="898"/>
      <c r="Q3" s="898"/>
      <c r="R3" s="898"/>
      <c r="S3" s="898"/>
      <c r="T3" s="898"/>
      <c r="U3" s="898"/>
      <c r="V3" s="889"/>
      <c r="W3" s="889"/>
      <c r="X3" s="898"/>
      <c r="Y3" s="898"/>
      <c r="Z3" s="898"/>
      <c r="AA3" s="898"/>
      <c r="AB3" s="896"/>
      <c r="AC3" s="896"/>
      <c r="AD3" s="701"/>
      <c r="AE3" s="701"/>
      <c r="AF3" s="701"/>
      <c r="AG3" s="701"/>
    </row>
    <row r="4" spans="1:37">
      <c r="A4" s="499" t="s">
        <v>23</v>
      </c>
      <c r="B4" s="399"/>
      <c r="C4" s="399"/>
      <c r="D4" s="515"/>
      <c r="E4" s="515"/>
      <c r="F4" s="515"/>
      <c r="G4" s="515"/>
      <c r="H4" s="515"/>
      <c r="I4" s="515"/>
      <c r="J4" s="515"/>
      <c r="K4" s="515"/>
      <c r="L4" s="328"/>
      <c r="M4" s="515"/>
      <c r="N4" s="515"/>
      <c r="O4" s="515"/>
      <c r="P4" s="399"/>
      <c r="Q4" s="399"/>
      <c r="R4" s="518"/>
      <c r="S4" s="518"/>
      <c r="T4" s="519"/>
      <c r="U4" s="519"/>
      <c r="V4" s="669"/>
      <c r="W4" s="669"/>
      <c r="X4" s="510"/>
      <c r="Y4" s="510"/>
      <c r="Z4" s="520"/>
      <c r="AA4" s="520"/>
      <c r="AB4" s="513"/>
      <c r="AC4" s="513"/>
      <c r="AD4" s="15"/>
      <c r="AE4" s="15"/>
      <c r="AF4" s="15"/>
      <c r="AG4" s="15"/>
      <c r="AH4" s="1"/>
      <c r="AI4" s="1"/>
      <c r="AJ4" s="1"/>
      <c r="AK4" s="1"/>
    </row>
    <row r="5" spans="1:37">
      <c r="A5" s="500" t="s">
        <v>29</v>
      </c>
      <c r="B5" s="521"/>
      <c r="C5" s="521"/>
      <c r="D5" s="669"/>
      <c r="E5" s="522"/>
      <c r="F5" s="522"/>
      <c r="G5" s="522"/>
      <c r="H5" s="522"/>
      <c r="I5" s="522"/>
      <c r="J5" s="481"/>
      <c r="K5" s="522"/>
      <c r="L5" s="522"/>
      <c r="M5" s="522"/>
      <c r="N5" s="522"/>
      <c r="O5" s="522"/>
      <c r="P5" s="521"/>
      <c r="Q5" s="521"/>
      <c r="R5" s="518"/>
      <c r="S5" s="518"/>
      <c r="T5" s="519"/>
      <c r="U5" s="519"/>
      <c r="V5" s="669">
        <f>D5</f>
        <v>0</v>
      </c>
      <c r="W5" s="669">
        <f>E5</f>
        <v>0</v>
      </c>
      <c r="X5" s="510"/>
      <c r="Y5" s="510"/>
      <c r="Z5" s="520"/>
      <c r="AA5" s="520"/>
      <c r="AB5" s="513"/>
      <c r="AC5" s="513"/>
      <c r="AD5" s="15"/>
      <c r="AE5" s="15"/>
      <c r="AF5" s="15"/>
      <c r="AG5" s="15"/>
      <c r="AH5" s="1"/>
      <c r="AI5" s="1"/>
      <c r="AJ5" s="1"/>
      <c r="AK5" s="1"/>
    </row>
    <row r="6" spans="1:37">
      <c r="A6" s="577" t="s">
        <v>146</v>
      </c>
      <c r="B6" s="578"/>
      <c r="C6" s="578"/>
      <c r="D6" s="578"/>
      <c r="E6" s="578"/>
      <c r="F6" s="578"/>
      <c r="G6" s="578"/>
      <c r="H6" s="578"/>
      <c r="I6" s="578"/>
      <c r="J6" s="578"/>
      <c r="K6" s="578"/>
      <c r="L6" s="578"/>
      <c r="M6" s="578"/>
      <c r="N6" s="578"/>
      <c r="O6" s="578"/>
      <c r="P6" s="578"/>
      <c r="Q6" s="578"/>
      <c r="R6" s="578"/>
      <c r="S6" s="523"/>
      <c r="T6" s="537"/>
      <c r="U6" s="537"/>
      <c r="V6" s="537"/>
      <c r="W6" s="537"/>
      <c r="X6" s="537"/>
      <c r="Y6" s="537"/>
      <c r="Z6" s="524"/>
      <c r="AA6" s="524"/>
      <c r="AB6" s="525"/>
      <c r="AC6" s="525"/>
      <c r="AD6" s="15"/>
      <c r="AE6" s="15"/>
      <c r="AF6" s="15"/>
      <c r="AG6" s="15"/>
      <c r="AH6" s="1"/>
      <c r="AI6" s="1"/>
      <c r="AJ6" s="1"/>
      <c r="AK6" s="1"/>
    </row>
    <row r="7" spans="1:37">
      <c r="A7" s="477" t="s">
        <v>154</v>
      </c>
      <c r="B7" s="521"/>
      <c r="C7" s="521"/>
      <c r="D7" s="519">
        <v>600</v>
      </c>
      <c r="E7" s="522">
        <f>-38.31-12.87-117.18</f>
        <v>-168.36</v>
      </c>
      <c r="F7" s="519">
        <v>75</v>
      </c>
      <c r="G7" s="522">
        <f>-7.57-6.5-17.49-6-10</f>
        <v>-47.56</v>
      </c>
      <c r="H7" s="516">
        <v>25</v>
      </c>
      <c r="I7" s="522"/>
      <c r="J7" s="516">
        <v>250</v>
      </c>
      <c r="K7" s="522">
        <f>-46.81-100.25</f>
        <v>-147.06</v>
      </c>
      <c r="L7" s="516">
        <v>50</v>
      </c>
      <c r="M7" s="522">
        <f>-6.59-8.05</f>
        <v>-14.64</v>
      </c>
      <c r="N7" s="522"/>
      <c r="O7" s="522"/>
      <c r="P7" s="521"/>
      <c r="Q7" s="521"/>
      <c r="R7" s="518"/>
      <c r="S7" s="518"/>
      <c r="T7" s="519">
        <f>D7+F7</f>
        <v>675</v>
      </c>
      <c r="U7" s="519">
        <f>G7+E7</f>
        <v>-215.92000000000002</v>
      </c>
      <c r="V7" s="669"/>
      <c r="W7" s="669"/>
      <c r="X7" s="510">
        <f>H7+J7+L7</f>
        <v>325</v>
      </c>
      <c r="Y7" s="510">
        <f>M7+K7</f>
        <v>-161.69999999999999</v>
      </c>
      <c r="Z7" s="520"/>
      <c r="AA7" s="520"/>
      <c r="AB7" s="513"/>
      <c r="AC7" s="513"/>
      <c r="AD7" s="15"/>
      <c r="AE7" s="15"/>
      <c r="AF7" s="15"/>
      <c r="AG7" s="15"/>
      <c r="AH7" s="1"/>
      <c r="AI7" s="1"/>
      <c r="AJ7" s="1"/>
      <c r="AK7" s="1"/>
    </row>
    <row r="8" spans="1:37">
      <c r="A8" s="477" t="s">
        <v>337</v>
      </c>
      <c r="B8" s="521"/>
      <c r="C8" s="521"/>
      <c r="D8" s="669"/>
      <c r="E8" s="522"/>
      <c r="F8" s="519"/>
      <c r="G8" s="522"/>
      <c r="H8" s="669">
        <v>60</v>
      </c>
      <c r="I8" s="522">
        <v>-33.119999999999997</v>
      </c>
      <c r="J8" s="516"/>
      <c r="K8" s="522"/>
      <c r="L8" s="516"/>
      <c r="M8" s="522"/>
      <c r="N8" s="522"/>
      <c r="O8" s="522"/>
      <c r="P8" s="521"/>
      <c r="Q8" s="521"/>
      <c r="R8" s="518"/>
      <c r="S8" s="518"/>
      <c r="T8" s="519"/>
      <c r="U8" s="519"/>
      <c r="V8" s="669">
        <f>D8+H8</f>
        <v>60</v>
      </c>
      <c r="W8" s="669">
        <f>E8+I8</f>
        <v>-33.119999999999997</v>
      </c>
      <c r="X8" s="510"/>
      <c r="Y8" s="510"/>
      <c r="Z8" s="520"/>
      <c r="AA8" s="520"/>
      <c r="AB8" s="513"/>
      <c r="AC8" s="513"/>
      <c r="AD8" s="15"/>
      <c r="AE8" s="15"/>
      <c r="AF8" s="15"/>
      <c r="AG8" s="15"/>
      <c r="AH8" s="1"/>
      <c r="AI8" s="1"/>
      <c r="AJ8" s="1"/>
      <c r="AK8" s="1"/>
    </row>
    <row r="9" spans="1:37" ht="11.25" customHeight="1">
      <c r="A9" s="477" t="s">
        <v>140</v>
      </c>
      <c r="B9" s="521"/>
      <c r="C9" s="521"/>
      <c r="D9" s="519">
        <v>3000</v>
      </c>
      <c r="E9" s="522">
        <f>-396-750-750</f>
        <v>-1896</v>
      </c>
      <c r="F9" s="522"/>
      <c r="G9" s="522"/>
      <c r="H9" s="522"/>
      <c r="I9" s="522"/>
      <c r="J9" s="522"/>
      <c r="K9" s="522"/>
      <c r="L9" s="522"/>
      <c r="M9" s="522"/>
      <c r="N9" s="522"/>
      <c r="O9" s="522"/>
      <c r="P9" s="521"/>
      <c r="Q9" s="521"/>
      <c r="R9" s="518"/>
      <c r="S9" s="518"/>
      <c r="T9" s="519">
        <f>D9</f>
        <v>3000</v>
      </c>
      <c r="U9" s="519">
        <f>E9</f>
        <v>-1896</v>
      </c>
      <c r="V9" s="669"/>
      <c r="W9" s="669"/>
      <c r="X9" s="510"/>
      <c r="Y9" s="510">
        <f>G105</f>
        <v>0</v>
      </c>
      <c r="Z9" s="520"/>
      <c r="AA9" s="520"/>
      <c r="AB9" s="513"/>
      <c r="AC9" s="513"/>
      <c r="AD9" s="15"/>
      <c r="AE9" s="15"/>
      <c r="AF9" s="15"/>
      <c r="AG9" s="15"/>
      <c r="AH9" s="1"/>
      <c r="AI9" s="1"/>
      <c r="AJ9" s="1"/>
      <c r="AK9" s="1"/>
    </row>
    <row r="10" spans="1:37" ht="11.25" customHeight="1">
      <c r="A10" s="477" t="s">
        <v>350</v>
      </c>
      <c r="B10" s="521"/>
      <c r="C10" s="521"/>
      <c r="D10" s="669">
        <v>218.84</v>
      </c>
      <c r="E10" s="522">
        <v>-218.84</v>
      </c>
      <c r="F10" s="522"/>
      <c r="G10" s="522"/>
      <c r="H10" s="522"/>
      <c r="I10" s="522"/>
      <c r="J10" s="522"/>
      <c r="K10" s="522"/>
      <c r="L10" s="522"/>
      <c r="M10" s="522"/>
      <c r="N10" s="522"/>
      <c r="O10" s="522"/>
      <c r="P10" s="521"/>
      <c r="Q10" s="521"/>
      <c r="R10" s="518"/>
      <c r="S10" s="518"/>
      <c r="T10" s="519"/>
      <c r="U10" s="519"/>
      <c r="V10" s="669">
        <f>D10</f>
        <v>218.84</v>
      </c>
      <c r="W10" s="669">
        <f>E10</f>
        <v>-218.84</v>
      </c>
      <c r="X10" s="510"/>
      <c r="Y10" s="510"/>
      <c r="Z10" s="520"/>
      <c r="AA10" s="520"/>
      <c r="AB10" s="513"/>
      <c r="AC10" s="513"/>
      <c r="AD10" s="15"/>
      <c r="AE10" s="15"/>
      <c r="AF10" s="15"/>
      <c r="AG10" s="15"/>
      <c r="AH10" s="1"/>
      <c r="AI10" s="1"/>
      <c r="AJ10" s="1"/>
      <c r="AK10" s="1"/>
    </row>
    <row r="11" spans="1:37">
      <c r="A11" s="477" t="s">
        <v>139</v>
      </c>
      <c r="B11" s="521"/>
      <c r="C11" s="521"/>
      <c r="D11" s="519">
        <v>1300</v>
      </c>
      <c r="E11" s="522">
        <v>136</v>
      </c>
      <c r="F11" s="728"/>
      <c r="G11" s="522"/>
      <c r="H11" s="522"/>
      <c r="I11" s="522"/>
      <c r="J11" s="522"/>
      <c r="K11" s="522"/>
      <c r="L11" s="522"/>
      <c r="M11" s="522"/>
      <c r="N11" s="522"/>
      <c r="O11" s="522"/>
      <c r="P11" s="526"/>
      <c r="Q11" s="526"/>
      <c r="R11" s="518"/>
      <c r="S11" s="518"/>
      <c r="T11" s="519">
        <f>D11+F11</f>
        <v>1300</v>
      </c>
      <c r="U11" s="519">
        <f>E11+G11</f>
        <v>136</v>
      </c>
      <c r="V11" s="669"/>
      <c r="W11" s="669"/>
      <c r="X11" s="579"/>
      <c r="Y11" s="579">
        <f>G106</f>
        <v>0</v>
      </c>
      <c r="Z11" s="520"/>
      <c r="AA11" s="520"/>
      <c r="AB11" s="513"/>
      <c r="AC11" s="513"/>
      <c r="AD11" s="15"/>
      <c r="AE11" s="15"/>
      <c r="AF11" s="15"/>
      <c r="AG11" s="15"/>
      <c r="AH11" s="1"/>
      <c r="AI11" s="1"/>
      <c r="AJ11" s="1"/>
      <c r="AK11" s="1"/>
    </row>
    <row r="12" spans="1:37">
      <c r="A12" s="477" t="s">
        <v>138</v>
      </c>
      <c r="B12" s="521"/>
      <c r="C12" s="521"/>
      <c r="D12" s="519">
        <v>80</v>
      </c>
      <c r="E12" s="528">
        <v>-66.540000000000006</v>
      </c>
      <c r="F12" s="528"/>
      <c r="G12" s="528"/>
      <c r="H12" s="528"/>
      <c r="I12" s="528"/>
      <c r="J12" s="528"/>
      <c r="K12" s="528"/>
      <c r="L12" s="528"/>
      <c r="M12" s="528"/>
      <c r="N12" s="528"/>
      <c r="O12" s="528"/>
      <c r="P12" s="527"/>
      <c r="Q12" s="527"/>
      <c r="R12" s="518"/>
      <c r="S12" s="518"/>
      <c r="T12" s="519">
        <f>D12</f>
        <v>80</v>
      </c>
      <c r="U12" s="519">
        <f>E12</f>
        <v>-66.540000000000006</v>
      </c>
      <c r="V12" s="669"/>
      <c r="W12" s="669"/>
      <c r="X12" s="510"/>
      <c r="Y12" s="510">
        <f>G107</f>
        <v>0</v>
      </c>
      <c r="Z12" s="520"/>
      <c r="AA12" s="520"/>
      <c r="AB12" s="513"/>
      <c r="AC12" s="513"/>
      <c r="AD12" s="15"/>
      <c r="AE12" s="15"/>
      <c r="AF12" s="15"/>
      <c r="AG12" s="15"/>
      <c r="AH12" s="1"/>
      <c r="AI12" s="1"/>
      <c r="AJ12" s="1"/>
      <c r="AK12" s="1"/>
    </row>
    <row r="13" spans="1:37">
      <c r="A13" s="477" t="s">
        <v>138</v>
      </c>
      <c r="B13" s="521"/>
      <c r="C13" s="521"/>
      <c r="D13" s="669">
        <v>82</v>
      </c>
      <c r="E13" s="669">
        <v>-81.11</v>
      </c>
      <c r="F13" s="528"/>
      <c r="G13" s="528"/>
      <c r="H13" s="528"/>
      <c r="I13" s="528"/>
      <c r="J13" s="528"/>
      <c r="K13" s="528"/>
      <c r="L13" s="528"/>
      <c r="M13" s="528"/>
      <c r="N13" s="528"/>
      <c r="O13" s="528"/>
      <c r="P13" s="527"/>
      <c r="Q13" s="527"/>
      <c r="R13" s="518"/>
      <c r="S13" s="518"/>
      <c r="T13" s="519"/>
      <c r="U13" s="519"/>
      <c r="V13" s="669">
        <f>D13</f>
        <v>82</v>
      </c>
      <c r="W13" s="669">
        <f>E13</f>
        <v>-81.11</v>
      </c>
      <c r="X13" s="510"/>
      <c r="Y13" s="510"/>
      <c r="Z13" s="520"/>
      <c r="AA13" s="520"/>
      <c r="AB13" s="513"/>
      <c r="AC13" s="513"/>
      <c r="AD13" s="15"/>
      <c r="AE13" s="15"/>
      <c r="AF13" s="15"/>
      <c r="AG13" s="15"/>
      <c r="AH13" s="1"/>
      <c r="AI13" s="1"/>
      <c r="AJ13" s="1"/>
      <c r="AK13" s="1"/>
    </row>
    <row r="14" spans="1:37">
      <c r="A14" s="477" t="s">
        <v>141</v>
      </c>
      <c r="B14" s="521"/>
      <c r="C14" s="521"/>
      <c r="D14" s="519">
        <v>320</v>
      </c>
      <c r="E14" s="528"/>
      <c r="F14" s="728"/>
      <c r="G14" s="528"/>
      <c r="H14" s="528"/>
      <c r="I14" s="528"/>
      <c r="J14" s="528"/>
      <c r="K14" s="528"/>
      <c r="L14" s="528"/>
      <c r="M14" s="528"/>
      <c r="N14" s="528"/>
      <c r="O14" s="528"/>
      <c r="P14" s="527"/>
      <c r="Q14" s="527"/>
      <c r="R14" s="518"/>
      <c r="S14" s="518"/>
      <c r="T14" s="519">
        <f>D14+F14</f>
        <v>320</v>
      </c>
      <c r="U14" s="519"/>
      <c r="V14" s="669"/>
      <c r="W14" s="669"/>
      <c r="X14" s="510"/>
      <c r="Y14" s="510">
        <f>G108</f>
        <v>0</v>
      </c>
      <c r="Z14" s="520"/>
      <c r="AA14" s="520"/>
      <c r="AB14" s="513"/>
      <c r="AC14" s="513"/>
      <c r="AD14" s="15"/>
      <c r="AE14" s="15"/>
      <c r="AF14" s="15"/>
      <c r="AG14" s="15"/>
      <c r="AH14" s="1"/>
      <c r="AI14" s="1"/>
      <c r="AJ14" s="1"/>
      <c r="AK14" s="1"/>
    </row>
    <row r="15" spans="1:37">
      <c r="A15" s="477" t="s">
        <v>9</v>
      </c>
      <c r="B15" s="519">
        <v>200</v>
      </c>
      <c r="C15" s="521">
        <f>-101.9-54.79</f>
        <v>-156.69</v>
      </c>
      <c r="D15" s="519">
        <v>1800</v>
      </c>
      <c r="E15" s="505">
        <f>-88.44-107.46-22.12-250-216.64-258.75</f>
        <v>-943.41</v>
      </c>
      <c r="F15" s="519"/>
      <c r="G15" s="505"/>
      <c r="H15" s="505"/>
      <c r="I15" s="505"/>
      <c r="J15" s="521"/>
      <c r="K15" s="521"/>
      <c r="L15" s="521"/>
      <c r="M15" s="521"/>
      <c r="N15" s="519">
        <v>818.64</v>
      </c>
      <c r="O15" s="521">
        <f>-718.64-189.5-4576.15-4551.66+2126.44+7090.87</f>
        <v>-818.64000000000033</v>
      </c>
      <c r="P15" s="521"/>
      <c r="Q15" s="521"/>
      <c r="R15" s="518"/>
      <c r="S15" s="518"/>
      <c r="T15" s="519">
        <f>D15+B15+F15+N15</f>
        <v>2818.64</v>
      </c>
      <c r="U15" s="519">
        <f>E15+C15+G15+O15</f>
        <v>-1918.7400000000002</v>
      </c>
      <c r="V15" s="669"/>
      <c r="W15" s="669"/>
      <c r="X15" s="516"/>
      <c r="Y15" s="516"/>
      <c r="Z15" s="520"/>
      <c r="AA15" s="520"/>
      <c r="AB15" s="513"/>
      <c r="AC15" s="513"/>
      <c r="AD15" s="15"/>
      <c r="AE15" s="15"/>
      <c r="AF15" s="15"/>
      <c r="AG15" s="15"/>
      <c r="AH15" s="1"/>
      <c r="AI15" s="1"/>
      <c r="AJ15" s="1"/>
      <c r="AK15" s="1"/>
    </row>
    <row r="16" spans="1:37">
      <c r="A16" s="477" t="s">
        <v>9</v>
      </c>
      <c r="B16" s="669">
        <v>350</v>
      </c>
      <c r="C16" s="521">
        <v>-325</v>
      </c>
      <c r="D16" s="669">
        <v>84.95</v>
      </c>
      <c r="E16" s="505">
        <v>-84.95</v>
      </c>
      <c r="F16" s="519"/>
      <c r="G16" s="505"/>
      <c r="H16" s="505"/>
      <c r="I16" s="505"/>
      <c r="J16" s="521"/>
      <c r="K16" s="521"/>
      <c r="L16" s="521"/>
      <c r="M16" s="521"/>
      <c r="N16" s="519"/>
      <c r="O16" s="810"/>
      <c r="P16" s="521"/>
      <c r="Q16" s="521"/>
      <c r="R16" s="518"/>
      <c r="S16" s="518"/>
      <c r="T16" s="519"/>
      <c r="U16" s="519"/>
      <c r="V16" s="669">
        <f>D16+B16</f>
        <v>434.95</v>
      </c>
      <c r="W16" s="669">
        <f>E16+C16</f>
        <v>-409.95</v>
      </c>
      <c r="X16" s="516"/>
      <c r="Y16" s="516"/>
      <c r="Z16" s="520"/>
      <c r="AA16" s="520"/>
      <c r="AB16" s="513"/>
      <c r="AC16" s="513"/>
      <c r="AD16" s="15"/>
      <c r="AE16" s="15"/>
      <c r="AF16" s="15"/>
      <c r="AG16" s="15"/>
      <c r="AH16" s="1"/>
      <c r="AI16" s="1"/>
      <c r="AJ16" s="1"/>
      <c r="AK16" s="1"/>
    </row>
    <row r="17" spans="1:37">
      <c r="A17" s="477" t="s">
        <v>215</v>
      </c>
      <c r="B17" s="521"/>
      <c r="C17" s="521"/>
      <c r="D17" s="519">
        <v>100</v>
      </c>
      <c r="E17" s="505">
        <v>-22</v>
      </c>
      <c r="F17" s="519">
        <v>50</v>
      </c>
      <c r="G17" s="505"/>
      <c r="H17" s="505"/>
      <c r="I17" s="505"/>
      <c r="J17" s="521"/>
      <c r="K17" s="521"/>
      <c r="L17" s="521"/>
      <c r="M17" s="521"/>
      <c r="N17" s="519">
        <v>100</v>
      </c>
      <c r="O17" s="321">
        <v>-100</v>
      </c>
      <c r="P17" s="527"/>
      <c r="Q17" s="527"/>
      <c r="R17" s="518"/>
      <c r="S17" s="518"/>
      <c r="T17" s="519">
        <f>D17+F17+N17</f>
        <v>250</v>
      </c>
      <c r="U17" s="519">
        <f>G17+O17+E17</f>
        <v>-122</v>
      </c>
      <c r="V17" s="669"/>
      <c r="W17" s="669"/>
      <c r="X17" s="510"/>
      <c r="Y17" s="510">
        <f>G112</f>
        <v>0</v>
      </c>
      <c r="Z17" s="520"/>
      <c r="AA17" s="520"/>
      <c r="AB17" s="513"/>
      <c r="AC17" s="513"/>
      <c r="AD17" s="15"/>
      <c r="AE17" s="15"/>
      <c r="AF17" s="15"/>
      <c r="AG17" s="15"/>
      <c r="AH17" s="1"/>
      <c r="AI17" s="1"/>
      <c r="AJ17" s="1"/>
      <c r="AK17" s="1"/>
    </row>
    <row r="18" spans="1:37">
      <c r="A18" s="577" t="s">
        <v>147</v>
      </c>
      <c r="B18" s="578"/>
      <c r="C18" s="578"/>
      <c r="D18" s="578"/>
      <c r="E18" s="578"/>
      <c r="F18" s="578"/>
      <c r="G18" s="578"/>
      <c r="H18" s="578"/>
      <c r="I18" s="578"/>
      <c r="J18" s="578"/>
      <c r="K18" s="578"/>
      <c r="L18" s="578"/>
      <c r="M18" s="578"/>
      <c r="N18" s="578"/>
      <c r="O18" s="578"/>
      <c r="P18" s="578"/>
      <c r="Q18" s="578"/>
      <c r="R18" s="578"/>
      <c r="S18" s="523"/>
      <c r="T18" s="537"/>
      <c r="U18" s="537"/>
      <c r="V18" s="537"/>
      <c r="W18" s="537"/>
      <c r="X18" s="537"/>
      <c r="Y18" s="537"/>
      <c r="Z18" s="524"/>
      <c r="AA18" s="524"/>
      <c r="AB18" s="525"/>
      <c r="AC18" s="525"/>
      <c r="AD18" s="15"/>
      <c r="AE18" s="15"/>
      <c r="AF18" s="15"/>
      <c r="AG18" s="15"/>
      <c r="AH18" s="1"/>
      <c r="AI18" s="1"/>
      <c r="AJ18" s="1"/>
      <c r="AK18" s="1"/>
    </row>
    <row r="19" spans="1:37">
      <c r="A19" s="477" t="s">
        <v>142</v>
      </c>
      <c r="B19" s="520"/>
      <c r="C19" s="521"/>
      <c r="D19" s="521"/>
      <c r="E19" s="521"/>
      <c r="F19" s="521"/>
      <c r="G19" s="521"/>
      <c r="H19" s="521"/>
      <c r="I19" s="521"/>
      <c r="J19" s="521"/>
      <c r="K19" s="521"/>
      <c r="L19" s="521"/>
      <c r="M19" s="521"/>
      <c r="N19" s="521"/>
      <c r="O19" s="521"/>
      <c r="P19" s="521"/>
      <c r="Q19" s="521"/>
      <c r="R19" s="518"/>
      <c r="S19" s="518"/>
      <c r="T19" s="519"/>
      <c r="U19" s="519"/>
      <c r="V19" s="669"/>
      <c r="W19" s="669"/>
      <c r="X19" s="516"/>
      <c r="Y19" s="516"/>
      <c r="Z19" s="520">
        <f>B19</f>
        <v>0</v>
      </c>
      <c r="AA19" s="520"/>
      <c r="AB19" s="513"/>
      <c r="AC19" s="513"/>
      <c r="AD19" s="15"/>
      <c r="AE19" s="15"/>
      <c r="AF19" s="15"/>
      <c r="AG19" s="15"/>
      <c r="AH19" s="1"/>
      <c r="AI19" s="1"/>
      <c r="AJ19" s="1"/>
      <c r="AK19" s="1"/>
    </row>
    <row r="20" spans="1:37">
      <c r="A20" s="477" t="s">
        <v>142</v>
      </c>
      <c r="B20" s="516">
        <v>100</v>
      </c>
      <c r="C20" s="521">
        <v>-16.63</v>
      </c>
      <c r="D20" s="521"/>
      <c r="E20" s="521"/>
      <c r="F20" s="521"/>
      <c r="G20" s="521"/>
      <c r="H20" s="521"/>
      <c r="I20" s="521"/>
      <c r="J20" s="521"/>
      <c r="K20" s="521"/>
      <c r="L20" s="521"/>
      <c r="M20" s="521"/>
      <c r="N20" s="521"/>
      <c r="O20" s="521"/>
      <c r="P20" s="521"/>
      <c r="Q20" s="521"/>
      <c r="R20" s="518"/>
      <c r="S20" s="518"/>
      <c r="T20" s="519"/>
      <c r="U20" s="519"/>
      <c r="V20" s="669"/>
      <c r="W20" s="669"/>
      <c r="X20" s="516">
        <f>B20</f>
        <v>100</v>
      </c>
      <c r="Y20" s="516">
        <f>C20</f>
        <v>-16.63</v>
      </c>
      <c r="Z20" s="520"/>
      <c r="AA20" s="520"/>
      <c r="AB20" s="513"/>
      <c r="AC20" s="513"/>
      <c r="AD20" s="15"/>
      <c r="AE20" s="15"/>
      <c r="AF20" s="15"/>
      <c r="AG20" s="15"/>
      <c r="AH20" s="1"/>
      <c r="AI20" s="1"/>
      <c r="AJ20" s="1"/>
      <c r="AK20" s="1"/>
    </row>
    <row r="21" spans="1:37">
      <c r="A21" s="477" t="s">
        <v>143</v>
      </c>
      <c r="B21" s="519">
        <v>7500</v>
      </c>
      <c r="C21" s="528">
        <f>-1382.34-111.72-390.47-66.91-67.89-365.37-312.38-62.72-354.18-61.86-392.92-71.86-385.93-405.75-33.82-349.58-258.06</f>
        <v>-5073.76</v>
      </c>
      <c r="D21" s="521"/>
      <c r="E21" s="521"/>
      <c r="F21" s="521"/>
      <c r="G21" s="521"/>
      <c r="H21" s="521"/>
      <c r="I21" s="521"/>
      <c r="J21" s="521"/>
      <c r="K21" s="521"/>
      <c r="L21" s="521"/>
      <c r="M21" s="521"/>
      <c r="N21" s="521"/>
      <c r="O21" s="521"/>
      <c r="P21" s="529"/>
      <c r="Q21" s="529"/>
      <c r="R21" s="518"/>
      <c r="S21" s="518"/>
      <c r="T21" s="519">
        <f>B21</f>
        <v>7500</v>
      </c>
      <c r="U21" s="519">
        <f>C21</f>
        <v>-5073.76</v>
      </c>
      <c r="V21" s="669"/>
      <c r="W21" s="669"/>
      <c r="X21" s="516"/>
      <c r="Y21" s="516"/>
      <c r="Z21" s="520"/>
      <c r="AA21" s="520"/>
      <c r="AB21" s="513"/>
      <c r="AC21" s="513"/>
      <c r="AD21" s="15"/>
      <c r="AE21" s="15"/>
      <c r="AF21" s="15"/>
      <c r="AG21" s="15"/>
      <c r="AH21" s="1"/>
      <c r="AI21" s="1"/>
      <c r="AJ21" s="1"/>
      <c r="AK21" s="1"/>
    </row>
    <row r="22" spans="1:37">
      <c r="A22" s="477" t="s">
        <v>145</v>
      </c>
      <c r="B22" s="528"/>
      <c r="C22" s="528"/>
      <c r="D22" s="521"/>
      <c r="E22" s="521"/>
      <c r="F22" s="521"/>
      <c r="G22" s="521"/>
      <c r="H22" s="521"/>
      <c r="I22" s="521"/>
      <c r="J22" s="521"/>
      <c r="K22" s="521"/>
      <c r="L22" s="521"/>
      <c r="M22" s="521"/>
      <c r="N22" s="521"/>
      <c r="O22" s="521"/>
      <c r="P22" s="529"/>
      <c r="Q22" s="529"/>
      <c r="R22" s="518"/>
      <c r="S22" s="518"/>
      <c r="T22" s="519"/>
      <c r="U22" s="519"/>
      <c r="V22" s="669"/>
      <c r="W22" s="669"/>
      <c r="X22" s="516"/>
      <c r="Y22" s="516"/>
      <c r="Z22" s="520"/>
      <c r="AA22" s="520"/>
      <c r="AB22" s="513"/>
      <c r="AC22" s="513"/>
      <c r="AD22" s="15"/>
      <c r="AE22" s="15"/>
      <c r="AF22" s="15"/>
      <c r="AG22" s="15"/>
      <c r="AH22" s="1"/>
      <c r="AI22" s="1"/>
      <c r="AJ22" s="1"/>
      <c r="AK22" s="1"/>
    </row>
    <row r="23" spans="1:37">
      <c r="A23" s="577" t="s">
        <v>148</v>
      </c>
      <c r="B23" s="578"/>
      <c r="C23" s="578"/>
      <c r="D23" s="578"/>
      <c r="E23" s="578"/>
      <c r="F23" s="578"/>
      <c r="G23" s="578"/>
      <c r="H23" s="578"/>
      <c r="I23" s="578"/>
      <c r="J23" s="578"/>
      <c r="K23" s="578"/>
      <c r="L23" s="578"/>
      <c r="M23" s="578"/>
      <c r="N23" s="578"/>
      <c r="O23" s="578"/>
      <c r="P23" s="578"/>
      <c r="Q23" s="578"/>
      <c r="R23" s="578"/>
      <c r="S23" s="523"/>
      <c r="T23" s="537"/>
      <c r="U23" s="537"/>
      <c r="V23" s="537"/>
      <c r="W23" s="537"/>
      <c r="X23" s="537"/>
      <c r="Y23" s="537"/>
      <c r="Z23" s="524"/>
      <c r="AA23" s="524"/>
      <c r="AB23" s="525"/>
      <c r="AC23" s="525"/>
      <c r="AD23" s="15"/>
      <c r="AE23" s="15"/>
      <c r="AF23" s="15"/>
      <c r="AG23" s="15"/>
      <c r="AH23" s="1"/>
      <c r="AI23" s="1"/>
      <c r="AJ23" s="1"/>
      <c r="AK23" s="1"/>
    </row>
    <row r="24" spans="1:37">
      <c r="A24" s="477" t="s">
        <v>149</v>
      </c>
      <c r="B24" s="519">
        <v>3600</v>
      </c>
      <c r="C24" s="521">
        <f>-398.39-399.95-385-209.53-89.66</f>
        <v>-1482.53</v>
      </c>
      <c r="D24" s="521"/>
      <c r="E24" s="521"/>
      <c r="F24" s="521"/>
      <c r="G24" s="521"/>
      <c r="H24" s="521"/>
      <c r="I24" s="521"/>
      <c r="J24" s="521"/>
      <c r="K24" s="521"/>
      <c r="L24" s="521"/>
      <c r="M24" s="521"/>
      <c r="N24" s="521"/>
      <c r="O24" s="521"/>
      <c r="P24" s="595"/>
      <c r="Q24" s="595"/>
      <c r="R24" s="518"/>
      <c r="S24" s="518"/>
      <c r="T24" s="519">
        <f>B24</f>
        <v>3600</v>
      </c>
      <c r="U24" s="519">
        <f>C24</f>
        <v>-1482.53</v>
      </c>
      <c r="V24" s="669"/>
      <c r="W24" s="669"/>
      <c r="X24" s="516"/>
      <c r="Y24" s="516"/>
      <c r="Z24" s="520"/>
      <c r="AA24" s="520"/>
      <c r="AB24" s="513"/>
      <c r="AC24" s="513"/>
      <c r="AD24" s="15"/>
      <c r="AE24" s="15"/>
      <c r="AF24" s="15"/>
      <c r="AG24" s="15"/>
      <c r="AH24" s="1"/>
      <c r="AI24" s="1"/>
      <c r="AJ24" s="1"/>
      <c r="AK24" s="1"/>
    </row>
    <row r="25" spans="1:37">
      <c r="A25" s="477" t="s">
        <v>364</v>
      </c>
      <c r="B25" s="520">
        <v>1000</v>
      </c>
      <c r="C25" s="521"/>
      <c r="D25" s="521"/>
      <c r="E25" s="521"/>
      <c r="F25" s="521"/>
      <c r="G25" s="521"/>
      <c r="H25" s="521"/>
      <c r="I25" s="521"/>
      <c r="J25" s="521"/>
      <c r="K25" s="521"/>
      <c r="L25" s="521"/>
      <c r="M25" s="521"/>
      <c r="N25" s="521"/>
      <c r="O25" s="521"/>
      <c r="P25" s="530"/>
      <c r="Q25" s="530"/>
      <c r="R25" s="518"/>
      <c r="S25" s="518"/>
      <c r="T25" s="519"/>
      <c r="U25" s="519"/>
      <c r="V25" s="669"/>
      <c r="W25" s="669"/>
      <c r="X25" s="516"/>
      <c r="Y25" s="516"/>
      <c r="Z25" s="520">
        <f>B25</f>
        <v>1000</v>
      </c>
      <c r="AA25" s="520"/>
      <c r="AB25" s="513"/>
      <c r="AC25" s="513"/>
      <c r="AD25" s="15"/>
      <c r="AE25" s="15"/>
      <c r="AF25" s="15"/>
      <c r="AG25" s="15"/>
      <c r="AH25" s="1"/>
      <c r="AI25" s="1"/>
      <c r="AJ25" s="1"/>
      <c r="AK25" s="1"/>
    </row>
    <row r="26" spans="1:37">
      <c r="A26" s="477" t="s">
        <v>149</v>
      </c>
      <c r="B26" s="669">
        <v>3700</v>
      </c>
      <c r="C26" s="521">
        <v>-3553.09</v>
      </c>
      <c r="D26" s="521"/>
      <c r="E26" s="521"/>
      <c r="F26" s="521"/>
      <c r="G26" s="521"/>
      <c r="H26" s="521"/>
      <c r="I26" s="521"/>
      <c r="J26" s="521"/>
      <c r="K26" s="521"/>
      <c r="L26" s="521"/>
      <c r="M26" s="521"/>
      <c r="N26" s="521"/>
      <c r="O26" s="521"/>
      <c r="P26" s="530"/>
      <c r="Q26" s="530"/>
      <c r="R26" s="518"/>
      <c r="S26" s="518"/>
      <c r="T26" s="519"/>
      <c r="U26" s="519"/>
      <c r="V26" s="669">
        <f>B26</f>
        <v>3700</v>
      </c>
      <c r="W26" s="669">
        <f>C26</f>
        <v>-3553.09</v>
      </c>
      <c r="X26" s="516"/>
      <c r="Y26" s="516"/>
      <c r="Z26" s="520"/>
      <c r="AA26" s="520"/>
      <c r="AB26" s="513"/>
      <c r="AC26" s="513"/>
      <c r="AD26" s="15"/>
      <c r="AE26" s="15"/>
      <c r="AF26" s="15"/>
      <c r="AG26" s="15"/>
      <c r="AH26" s="1"/>
      <c r="AI26" s="1"/>
      <c r="AJ26" s="1"/>
      <c r="AK26" s="1"/>
    </row>
    <row r="27" spans="1:37">
      <c r="A27" s="477" t="s">
        <v>149</v>
      </c>
      <c r="B27" s="516">
        <v>4200</v>
      </c>
      <c r="C27" s="521">
        <f>-1739.46-363-209.53</f>
        <v>-2311.9900000000002</v>
      </c>
      <c r="D27" s="521"/>
      <c r="E27" s="521"/>
      <c r="F27" s="521"/>
      <c r="G27" s="521"/>
      <c r="H27" s="521"/>
      <c r="I27" s="521"/>
      <c r="J27" s="521"/>
      <c r="K27" s="521"/>
      <c r="L27" s="521"/>
      <c r="M27" s="521"/>
      <c r="N27" s="521"/>
      <c r="O27" s="521"/>
      <c r="P27" s="530"/>
      <c r="Q27" s="530"/>
      <c r="R27" s="518"/>
      <c r="S27" s="518"/>
      <c r="T27" s="519"/>
      <c r="U27" s="519"/>
      <c r="V27" s="669"/>
      <c r="W27" s="669"/>
      <c r="X27" s="516">
        <f>B27</f>
        <v>4200</v>
      </c>
      <c r="Y27" s="516">
        <f>C27</f>
        <v>-2311.9900000000002</v>
      </c>
      <c r="Z27" s="520"/>
      <c r="AA27" s="520"/>
      <c r="AB27" s="513"/>
      <c r="AC27" s="513"/>
      <c r="AD27" s="15"/>
      <c r="AE27" s="15"/>
      <c r="AF27" s="15"/>
      <c r="AG27" s="15"/>
      <c r="AH27" s="1"/>
      <c r="AI27" s="1"/>
      <c r="AJ27" s="1"/>
      <c r="AK27" s="1"/>
    </row>
    <row r="28" spans="1:37">
      <c r="A28" s="477" t="s">
        <v>150</v>
      </c>
      <c r="B28" s="519">
        <v>100</v>
      </c>
      <c r="C28" s="521">
        <v>-56.34</v>
      </c>
      <c r="D28" s="521"/>
      <c r="E28" s="521"/>
      <c r="F28" s="521"/>
      <c r="G28" s="521"/>
      <c r="H28" s="521"/>
      <c r="I28" s="521"/>
      <c r="J28" s="521"/>
      <c r="K28" s="521"/>
      <c r="L28" s="521"/>
      <c r="M28" s="521"/>
      <c r="N28" s="521"/>
      <c r="O28" s="521"/>
      <c r="P28" s="530"/>
      <c r="Q28" s="530"/>
      <c r="R28" s="518"/>
      <c r="S28" s="518"/>
      <c r="T28" s="519">
        <f>B28</f>
        <v>100</v>
      </c>
      <c r="U28" s="519">
        <f>C28</f>
        <v>-56.34</v>
      </c>
      <c r="V28" s="669"/>
      <c r="W28" s="669"/>
      <c r="X28" s="516"/>
      <c r="Y28" s="516"/>
      <c r="Z28" s="520"/>
      <c r="AA28" s="520"/>
      <c r="AB28" s="513"/>
      <c r="AC28" s="513"/>
      <c r="AD28" s="15"/>
      <c r="AE28" s="15"/>
      <c r="AF28" s="15"/>
      <c r="AG28" s="15"/>
      <c r="AH28" s="1"/>
      <c r="AI28" s="1"/>
      <c r="AJ28" s="1"/>
      <c r="AK28" s="1"/>
    </row>
    <row r="29" spans="1:37">
      <c r="A29" s="477" t="s">
        <v>150</v>
      </c>
      <c r="B29" s="516">
        <v>500</v>
      </c>
      <c r="C29" s="521">
        <f>-11.48-7.06-14.45-31.35-56.34</f>
        <v>-120.68</v>
      </c>
      <c r="D29" s="521"/>
      <c r="E29" s="521"/>
      <c r="F29" s="521"/>
      <c r="G29" s="521"/>
      <c r="H29" s="521"/>
      <c r="I29" s="521"/>
      <c r="J29" s="521"/>
      <c r="K29" s="521"/>
      <c r="L29" s="521"/>
      <c r="M29" s="521"/>
      <c r="N29" s="521"/>
      <c r="O29" s="521"/>
      <c r="P29" s="530"/>
      <c r="Q29" s="530"/>
      <c r="R29" s="518"/>
      <c r="S29" s="518"/>
      <c r="T29" s="519"/>
      <c r="U29" s="519"/>
      <c r="V29" s="669"/>
      <c r="W29" s="669"/>
      <c r="X29" s="516">
        <f>B29</f>
        <v>500</v>
      </c>
      <c r="Y29" s="516">
        <f>C29</f>
        <v>-120.68</v>
      </c>
      <c r="Z29" s="520"/>
      <c r="AA29" s="520"/>
      <c r="AB29" s="513"/>
      <c r="AC29" s="513"/>
      <c r="AD29" s="15"/>
      <c r="AE29" s="15"/>
      <c r="AF29" s="15"/>
      <c r="AG29" s="15"/>
      <c r="AH29" s="1"/>
      <c r="AI29" s="1"/>
      <c r="AJ29" s="1"/>
      <c r="AK29" s="1"/>
    </row>
    <row r="30" spans="1:37">
      <c r="A30" s="477" t="s">
        <v>151</v>
      </c>
      <c r="B30" s="519">
        <v>4200</v>
      </c>
      <c r="C30" s="521">
        <f>-351.78-1767.12-482.98-2-377.8-173-219-27-39-29</f>
        <v>-3468.68</v>
      </c>
      <c r="D30" s="521"/>
      <c r="E30" s="521"/>
      <c r="F30" s="521"/>
      <c r="G30" s="521"/>
      <c r="H30" s="521"/>
      <c r="I30" s="521"/>
      <c r="J30" s="521"/>
      <c r="K30" s="521"/>
      <c r="L30" s="521"/>
      <c r="M30" s="521"/>
      <c r="N30" s="519">
        <v>438</v>
      </c>
      <c r="O30" s="521">
        <f>-361-8-44.5-24.5</f>
        <v>-438</v>
      </c>
      <c r="P30" s="530"/>
      <c r="Q30" s="530"/>
      <c r="R30" s="518"/>
      <c r="S30" s="518"/>
      <c r="T30" s="519">
        <f>B30+N30</f>
        <v>4638</v>
      </c>
      <c r="U30" s="519">
        <f>C30+O30</f>
        <v>-3906.68</v>
      </c>
      <c r="V30" s="669"/>
      <c r="W30" s="669"/>
      <c r="X30" s="516"/>
      <c r="Y30" s="516"/>
      <c r="Z30" s="520"/>
      <c r="AA30" s="520"/>
      <c r="AB30" s="513"/>
      <c r="AC30" s="513"/>
      <c r="AD30" s="15"/>
      <c r="AE30" s="15"/>
      <c r="AF30" s="15"/>
      <c r="AG30" s="15"/>
      <c r="AH30" s="1"/>
      <c r="AI30" s="1"/>
      <c r="AJ30" s="1"/>
      <c r="AK30" s="1"/>
    </row>
    <row r="31" spans="1:37" ht="10.5" customHeight="1">
      <c r="A31" s="477" t="s">
        <v>151</v>
      </c>
      <c r="B31" s="669">
        <v>150</v>
      </c>
      <c r="C31" s="521">
        <f>-98-23</f>
        <v>-121</v>
      </c>
      <c r="D31" s="521"/>
      <c r="E31" s="521"/>
      <c r="F31" s="521"/>
      <c r="G31" s="521"/>
      <c r="H31" s="521"/>
      <c r="I31" s="521"/>
      <c r="J31" s="521"/>
      <c r="K31" s="521"/>
      <c r="L31" s="521"/>
      <c r="M31" s="521"/>
      <c r="N31" s="669"/>
      <c r="O31" s="521"/>
      <c r="P31" s="530"/>
      <c r="Q31" s="530"/>
      <c r="R31" s="518"/>
      <c r="S31" s="518"/>
      <c r="T31" s="519"/>
      <c r="U31" s="519"/>
      <c r="V31" s="669">
        <f>B31+N31</f>
        <v>150</v>
      </c>
      <c r="W31" s="669">
        <f>C31+O31</f>
        <v>-121</v>
      </c>
      <c r="X31" s="516"/>
      <c r="Y31" s="516"/>
      <c r="Z31" s="520"/>
      <c r="AA31" s="520"/>
      <c r="AB31" s="513"/>
      <c r="AC31" s="513"/>
      <c r="AD31" s="15"/>
      <c r="AE31" s="15"/>
      <c r="AF31" s="15"/>
      <c r="AG31" s="15"/>
      <c r="AH31" s="1"/>
      <c r="AI31" s="1"/>
      <c r="AJ31" s="1"/>
      <c r="AK31" s="1"/>
    </row>
    <row r="32" spans="1:37">
      <c r="A32" s="477" t="s">
        <v>152</v>
      </c>
      <c r="B32" s="530"/>
      <c r="C32" s="521"/>
      <c r="D32" s="521"/>
      <c r="E32" s="521"/>
      <c r="F32" s="521"/>
      <c r="G32" s="521"/>
      <c r="H32" s="521"/>
      <c r="I32" s="521"/>
      <c r="J32" s="521"/>
      <c r="K32" s="521"/>
      <c r="L32" s="521"/>
      <c r="M32" s="521"/>
      <c r="N32" s="521"/>
      <c r="O32" s="521"/>
      <c r="P32" s="530"/>
      <c r="Q32" s="530"/>
      <c r="R32" s="518"/>
      <c r="S32" s="518"/>
      <c r="T32" s="519"/>
      <c r="U32" s="519"/>
      <c r="V32" s="669"/>
      <c r="W32" s="669"/>
      <c r="X32" s="516"/>
      <c r="Y32" s="516"/>
      <c r="Z32" s="520"/>
      <c r="AA32" s="520"/>
      <c r="AB32" s="513"/>
      <c r="AC32" s="513"/>
      <c r="AD32" s="15"/>
      <c r="AE32" s="15"/>
      <c r="AF32" s="15"/>
      <c r="AG32" s="15"/>
      <c r="AH32" s="1"/>
      <c r="AI32" s="1"/>
      <c r="AJ32" s="1"/>
      <c r="AK32" s="1"/>
    </row>
    <row r="33" spans="1:37" ht="12.75" customHeight="1">
      <c r="A33" s="577" t="s">
        <v>153</v>
      </c>
      <c r="B33" s="578"/>
      <c r="C33" s="578"/>
      <c r="D33" s="578"/>
      <c r="E33" s="578"/>
      <c r="F33" s="578"/>
      <c r="G33" s="578"/>
      <c r="H33" s="578"/>
      <c r="I33" s="578"/>
      <c r="J33" s="578"/>
      <c r="K33" s="578"/>
      <c r="L33" s="578"/>
      <c r="M33" s="578"/>
      <c r="N33" s="578"/>
      <c r="O33" s="578"/>
      <c r="P33" s="578"/>
      <c r="Q33" s="578"/>
      <c r="R33" s="578"/>
      <c r="S33" s="578"/>
      <c r="T33" s="578"/>
      <c r="U33" s="537"/>
      <c r="V33" s="537"/>
      <c r="W33" s="537"/>
      <c r="X33" s="578"/>
      <c r="Y33" s="578"/>
      <c r="Z33" s="578"/>
      <c r="AA33" s="578"/>
      <c r="AB33" s="578"/>
      <c r="AC33" s="525"/>
      <c r="AD33" s="15"/>
      <c r="AE33" s="15"/>
      <c r="AF33" s="15"/>
      <c r="AG33" s="15"/>
      <c r="AH33" s="1"/>
      <c r="AI33" s="1"/>
      <c r="AJ33" s="1"/>
      <c r="AK33" s="1"/>
    </row>
    <row r="34" spans="1:37">
      <c r="A34" s="477" t="s">
        <v>156</v>
      </c>
      <c r="B34" s="516">
        <v>375</v>
      </c>
      <c r="C34" s="508">
        <f>-239.81-89</f>
        <v>-328.81</v>
      </c>
      <c r="D34" s="519">
        <v>120</v>
      </c>
      <c r="E34" s="508">
        <v>-120</v>
      </c>
      <c r="F34" s="508"/>
      <c r="G34" s="508"/>
      <c r="H34" s="508"/>
      <c r="I34" s="508"/>
      <c r="J34" s="508"/>
      <c r="K34" s="508"/>
      <c r="L34" s="508"/>
      <c r="M34" s="508"/>
      <c r="N34" s="519">
        <v>1663.59</v>
      </c>
      <c r="O34" s="508">
        <f>-628.59-685-350</f>
        <v>-1663.5900000000001</v>
      </c>
      <c r="P34" s="508"/>
      <c r="Q34" s="508"/>
      <c r="R34" s="518"/>
      <c r="S34" s="518"/>
      <c r="T34" s="519">
        <f>D34+N34</f>
        <v>1783.59</v>
      </c>
      <c r="U34" s="519">
        <f>E34+O34</f>
        <v>-1783.5900000000001</v>
      </c>
      <c r="V34" s="669"/>
      <c r="W34" s="669"/>
      <c r="X34" s="516">
        <f t="shared" ref="X34:Y36" si="0">B34</f>
        <v>375</v>
      </c>
      <c r="Y34" s="516">
        <f t="shared" si="0"/>
        <v>-328.81</v>
      </c>
      <c r="Z34" s="520"/>
      <c r="AA34" s="520"/>
      <c r="AB34" s="513"/>
      <c r="AC34" s="513"/>
      <c r="AD34" s="15"/>
      <c r="AE34" s="15"/>
      <c r="AF34" s="15"/>
      <c r="AG34" s="15"/>
      <c r="AH34" s="1"/>
      <c r="AI34" s="1"/>
      <c r="AJ34" s="1"/>
      <c r="AK34" s="1"/>
    </row>
    <row r="35" spans="1:37">
      <c r="A35" s="477" t="s">
        <v>129</v>
      </c>
      <c r="B35" s="516">
        <v>100</v>
      </c>
      <c r="C35" s="508">
        <v>-75.08</v>
      </c>
      <c r="D35" s="508"/>
      <c r="E35" s="508"/>
      <c r="F35" s="508"/>
      <c r="G35" s="508"/>
      <c r="H35" s="508"/>
      <c r="I35" s="508"/>
      <c r="J35" s="508"/>
      <c r="K35" s="508"/>
      <c r="L35" s="508"/>
      <c r="M35" s="508"/>
      <c r="N35" s="508"/>
      <c r="O35" s="508"/>
      <c r="P35" s="519"/>
      <c r="Q35" s="492"/>
      <c r="R35" s="518"/>
      <c r="S35" s="518"/>
      <c r="T35" s="519">
        <f>P35</f>
        <v>0</v>
      </c>
      <c r="U35" s="519"/>
      <c r="V35" s="669"/>
      <c r="W35" s="669"/>
      <c r="X35" s="516">
        <f t="shared" si="0"/>
        <v>100</v>
      </c>
      <c r="Y35" s="516">
        <f t="shared" si="0"/>
        <v>-75.08</v>
      </c>
      <c r="Z35" s="520"/>
      <c r="AA35" s="520"/>
      <c r="AB35" s="513"/>
      <c r="AC35" s="513"/>
      <c r="AD35" s="15"/>
      <c r="AE35" s="15"/>
      <c r="AF35" s="15"/>
      <c r="AG35" s="15"/>
      <c r="AH35" s="1"/>
      <c r="AI35" s="1"/>
      <c r="AJ35" s="1"/>
      <c r="AK35" s="1"/>
    </row>
    <row r="36" spans="1:37">
      <c r="A36" s="477" t="s">
        <v>159</v>
      </c>
      <c r="B36" s="516">
        <v>5600</v>
      </c>
      <c r="C36" s="508">
        <f>5-269.03-30.89-822.63-46.9-50.45-240.25-154.31-135.82-162.77-182.56-191.78-352.65-127.16-29.21-51.46-86.94-189.78-8.99</f>
        <v>-3128.5800000000004</v>
      </c>
      <c r="D36" s="508"/>
      <c r="E36" s="508"/>
      <c r="F36" s="508"/>
      <c r="G36" s="508"/>
      <c r="H36" s="508"/>
      <c r="I36" s="508"/>
      <c r="J36" s="508"/>
      <c r="K36" s="508"/>
      <c r="L36" s="508"/>
      <c r="M36" s="508"/>
      <c r="N36" s="508"/>
      <c r="O36" s="508"/>
      <c r="P36" s="508"/>
      <c r="Q36" s="508"/>
      <c r="R36" s="518"/>
      <c r="S36" s="518"/>
      <c r="T36" s="519"/>
      <c r="U36" s="519"/>
      <c r="V36" s="669"/>
      <c r="W36" s="669"/>
      <c r="X36" s="516">
        <f t="shared" si="0"/>
        <v>5600</v>
      </c>
      <c r="Y36" s="516">
        <f t="shared" si="0"/>
        <v>-3128.5800000000004</v>
      </c>
      <c r="Z36" s="520"/>
      <c r="AA36" s="520"/>
      <c r="AB36" s="513"/>
      <c r="AC36" s="513"/>
      <c r="AD36" s="15"/>
      <c r="AE36" s="15"/>
      <c r="AF36" s="15"/>
      <c r="AG36" s="15"/>
      <c r="AH36" s="1"/>
      <c r="AI36" s="1"/>
      <c r="AJ36" s="1"/>
      <c r="AK36" s="1"/>
    </row>
    <row r="37" spans="1:37">
      <c r="A37" s="477" t="s">
        <v>158</v>
      </c>
      <c r="B37" s="508"/>
      <c r="C37" s="508"/>
      <c r="D37" s="508"/>
      <c r="E37" s="508"/>
      <c r="F37" s="508"/>
      <c r="G37" s="508"/>
      <c r="H37" s="508"/>
      <c r="I37" s="508"/>
      <c r="J37" s="508"/>
      <c r="K37" s="508"/>
      <c r="L37" s="508"/>
      <c r="M37" s="508"/>
      <c r="N37" s="508"/>
      <c r="O37" s="508"/>
      <c r="P37" s="508"/>
      <c r="Q37" s="508"/>
      <c r="R37" s="518"/>
      <c r="S37" s="518"/>
      <c r="T37" s="519"/>
      <c r="U37" s="519"/>
      <c r="V37" s="669"/>
      <c r="W37" s="669"/>
      <c r="X37" s="516"/>
      <c r="Y37" s="516"/>
      <c r="Z37" s="520"/>
      <c r="AA37" s="520"/>
      <c r="AB37" s="513"/>
      <c r="AC37" s="513"/>
      <c r="AD37" s="15"/>
      <c r="AE37" s="15"/>
      <c r="AF37" s="15"/>
      <c r="AG37" s="15"/>
      <c r="AH37" s="1"/>
      <c r="AI37" s="1"/>
      <c r="AJ37" s="1"/>
      <c r="AK37" s="1"/>
    </row>
    <row r="38" spans="1:37">
      <c r="A38" s="577" t="s">
        <v>160</v>
      </c>
      <c r="B38" s="578"/>
      <c r="C38" s="578"/>
      <c r="D38" s="578"/>
      <c r="E38" s="578"/>
      <c r="F38" s="578"/>
      <c r="G38" s="578"/>
      <c r="H38" s="578"/>
      <c r="I38" s="578"/>
      <c r="J38" s="578"/>
      <c r="K38" s="578"/>
      <c r="L38" s="578"/>
      <c r="M38" s="578"/>
      <c r="N38" s="578"/>
      <c r="O38" s="578"/>
      <c r="P38" s="578"/>
      <c r="Q38" s="578"/>
      <c r="R38" s="578"/>
      <c r="S38" s="578"/>
      <c r="T38" s="578"/>
      <c r="U38" s="578"/>
      <c r="V38" s="537"/>
      <c r="W38" s="537"/>
      <c r="X38" s="578"/>
      <c r="Y38" s="578"/>
      <c r="Z38" s="578"/>
      <c r="AA38" s="578"/>
      <c r="AB38" s="578"/>
      <c r="AC38" s="525"/>
      <c r="AD38" s="15"/>
      <c r="AE38" s="15"/>
      <c r="AF38" s="15"/>
      <c r="AG38" s="15"/>
      <c r="AH38" s="1"/>
      <c r="AI38" s="1"/>
      <c r="AJ38" s="1"/>
      <c r="AK38" s="1"/>
    </row>
    <row r="39" spans="1:37">
      <c r="A39" s="477" t="s">
        <v>161</v>
      </c>
      <c r="B39" s="481"/>
      <c r="C39" s="481"/>
      <c r="D39" s="519">
        <v>240</v>
      </c>
      <c r="E39" s="505"/>
      <c r="F39" s="519">
        <v>125</v>
      </c>
      <c r="G39" s="505">
        <v>-125</v>
      </c>
      <c r="H39" s="505"/>
      <c r="I39" s="505"/>
      <c r="J39" s="481"/>
      <c r="K39" s="481"/>
      <c r="L39" s="481"/>
      <c r="M39" s="481"/>
      <c r="N39" s="481"/>
      <c r="O39" s="481"/>
      <c r="P39" s="508"/>
      <c r="Q39" s="508"/>
      <c r="R39" s="518"/>
      <c r="S39" s="518"/>
      <c r="T39" s="519">
        <f>D39+F39</f>
        <v>365</v>
      </c>
      <c r="U39" s="519">
        <f>E39+G39</f>
        <v>-125</v>
      </c>
      <c r="V39" s="669"/>
      <c r="W39" s="669"/>
      <c r="X39" s="516"/>
      <c r="Y39" s="516"/>
      <c r="Z39" s="520"/>
      <c r="AA39" s="520"/>
      <c r="AB39" s="513"/>
      <c r="AC39" s="513"/>
      <c r="AD39" s="15"/>
      <c r="AE39" s="15"/>
      <c r="AF39" s="15"/>
      <c r="AG39" s="15"/>
      <c r="AH39" s="1"/>
      <c r="AI39" s="1"/>
      <c r="AJ39" s="1"/>
      <c r="AK39" s="1"/>
    </row>
    <row r="40" spans="1:37">
      <c r="A40" s="477" t="s">
        <v>162</v>
      </c>
      <c r="B40" s="481"/>
      <c r="C40" s="481"/>
      <c r="D40" s="519">
        <v>1399</v>
      </c>
      <c r="E40" s="481"/>
      <c r="F40" s="519"/>
      <c r="G40" s="481"/>
      <c r="H40" s="670"/>
      <c r="I40" s="481"/>
      <c r="J40" s="481"/>
      <c r="K40" s="481"/>
      <c r="L40" s="481"/>
      <c r="M40" s="481"/>
      <c r="N40" s="481"/>
      <c r="O40" s="481"/>
      <c r="P40" s="508"/>
      <c r="Q40" s="508"/>
      <c r="R40" s="518"/>
      <c r="S40" s="518"/>
      <c r="T40" s="519">
        <f>D40+F40</f>
        <v>1399</v>
      </c>
      <c r="U40" s="519"/>
      <c r="V40" s="669">
        <f>B40</f>
        <v>0</v>
      </c>
      <c r="W40" s="669">
        <f>C40</f>
        <v>0</v>
      </c>
      <c r="X40" s="516"/>
      <c r="Y40" s="516"/>
      <c r="Z40" s="520"/>
      <c r="AA40" s="520"/>
      <c r="AB40" s="513"/>
      <c r="AC40" s="513"/>
      <c r="AD40" s="15"/>
      <c r="AE40" s="15"/>
      <c r="AF40" s="15"/>
      <c r="AG40" s="15"/>
      <c r="AH40" s="1"/>
      <c r="AI40" s="1"/>
      <c r="AJ40" s="1"/>
      <c r="AK40" s="1"/>
    </row>
    <row r="41" spans="1:37">
      <c r="A41" s="477" t="s">
        <v>163</v>
      </c>
      <c r="B41" s="481"/>
      <c r="C41" s="481"/>
      <c r="D41" s="481"/>
      <c r="E41" s="481"/>
      <c r="F41" s="481"/>
      <c r="G41" s="481"/>
      <c r="H41" s="481"/>
      <c r="I41" s="481"/>
      <c r="J41" s="481"/>
      <c r="K41" s="481"/>
      <c r="L41" s="481"/>
      <c r="M41" s="481"/>
      <c r="N41" s="481"/>
      <c r="O41" s="481"/>
      <c r="P41" s="508"/>
      <c r="Q41" s="508"/>
      <c r="R41" s="518"/>
      <c r="S41" s="518"/>
      <c r="T41" s="519"/>
      <c r="U41" s="519"/>
      <c r="V41" s="669"/>
      <c r="W41" s="669"/>
      <c r="X41" s="516"/>
      <c r="Y41" s="516"/>
      <c r="Z41" s="520"/>
      <c r="AA41" s="520"/>
      <c r="AB41" s="513"/>
      <c r="AC41" s="513"/>
      <c r="AD41" s="15"/>
      <c r="AE41" s="15"/>
      <c r="AF41" s="15"/>
      <c r="AG41" s="15"/>
      <c r="AH41" s="1"/>
      <c r="AI41" s="1"/>
      <c r="AJ41" s="1"/>
      <c r="AK41" s="1"/>
    </row>
    <row r="42" spans="1:37">
      <c r="A42" s="477" t="s">
        <v>164</v>
      </c>
      <c r="B42" s="481"/>
      <c r="C42" s="481"/>
      <c r="D42" s="519">
        <v>130</v>
      </c>
      <c r="E42" s="505">
        <v>-130</v>
      </c>
      <c r="F42" s="519">
        <v>280</v>
      </c>
      <c r="G42" s="505">
        <f>-130-149.95</f>
        <v>-279.95</v>
      </c>
      <c r="H42" s="505"/>
      <c r="I42" s="505"/>
      <c r="J42" s="481"/>
      <c r="K42" s="481"/>
      <c r="L42" s="481"/>
      <c r="M42" s="481"/>
      <c r="N42" s="481"/>
      <c r="O42" s="481"/>
      <c r="P42" s="508"/>
      <c r="Q42" s="508"/>
      <c r="R42" s="518"/>
      <c r="S42" s="518"/>
      <c r="T42" s="519">
        <f>D42+F42</f>
        <v>410</v>
      </c>
      <c r="U42" s="519">
        <f>E42+G42</f>
        <v>-409.95</v>
      </c>
      <c r="V42" s="669"/>
      <c r="W42" s="669"/>
      <c r="X42" s="516"/>
      <c r="Y42" s="516"/>
      <c r="Z42" s="520"/>
      <c r="AA42" s="520"/>
      <c r="AB42" s="513"/>
      <c r="AC42" s="513"/>
      <c r="AD42" s="15"/>
      <c r="AE42" s="15"/>
      <c r="AF42" s="15"/>
      <c r="AG42" s="15"/>
      <c r="AH42" s="1"/>
      <c r="AI42" s="1"/>
      <c r="AJ42" s="1"/>
      <c r="AK42" s="1"/>
    </row>
    <row r="43" spans="1:37">
      <c r="A43" s="477" t="s">
        <v>165</v>
      </c>
      <c r="B43" s="481"/>
      <c r="C43" s="481"/>
      <c r="D43" s="519"/>
      <c r="E43" s="481"/>
      <c r="F43" s="481"/>
      <c r="G43" s="481"/>
      <c r="H43" s="481"/>
      <c r="I43" s="481"/>
      <c r="J43" s="481"/>
      <c r="K43" s="481"/>
      <c r="L43" s="481"/>
      <c r="M43" s="481"/>
      <c r="N43" s="519">
        <v>62.77</v>
      </c>
      <c r="O43" s="481">
        <f>-27.18-15.2-9.6-10.79</f>
        <v>-62.769999999999996</v>
      </c>
      <c r="P43" s="508"/>
      <c r="Q43" s="508"/>
      <c r="R43" s="518"/>
      <c r="S43" s="518"/>
      <c r="T43" s="519">
        <f>D43+N43</f>
        <v>62.77</v>
      </c>
      <c r="U43" s="519">
        <f>E43+O43</f>
        <v>-62.769999999999996</v>
      </c>
      <c r="V43" s="669"/>
      <c r="W43" s="669"/>
      <c r="X43" s="516">
        <f>B43</f>
        <v>0</v>
      </c>
      <c r="Y43" s="516">
        <f>C43</f>
        <v>0</v>
      </c>
      <c r="Z43" s="520"/>
      <c r="AA43" s="520"/>
      <c r="AB43" s="513"/>
      <c r="AC43" s="513"/>
      <c r="AD43" s="15"/>
      <c r="AE43" s="15"/>
      <c r="AF43" s="15"/>
      <c r="AG43" s="15"/>
      <c r="AH43" s="1"/>
      <c r="AI43" s="1"/>
      <c r="AJ43" s="1"/>
      <c r="AK43" s="1"/>
    </row>
    <row r="44" spans="1:37">
      <c r="A44" s="577" t="s">
        <v>166</v>
      </c>
      <c r="B44" s="578"/>
      <c r="C44" s="578"/>
      <c r="D44" s="578"/>
      <c r="E44" s="578"/>
      <c r="F44" s="578"/>
      <c r="G44" s="578"/>
      <c r="H44" s="578"/>
      <c r="I44" s="578"/>
      <c r="J44" s="578"/>
      <c r="K44" s="578"/>
      <c r="L44" s="578"/>
      <c r="M44" s="578"/>
      <c r="N44" s="578"/>
      <c r="O44" s="578"/>
      <c r="P44" s="578"/>
      <c r="Q44" s="578"/>
      <c r="R44" s="578"/>
      <c r="S44" s="578"/>
      <c r="T44" s="578"/>
      <c r="U44" s="578"/>
      <c r="V44" s="537"/>
      <c r="W44" s="537"/>
      <c r="X44" s="578"/>
      <c r="Y44" s="578"/>
      <c r="Z44" s="578"/>
      <c r="AA44" s="578"/>
      <c r="AB44" s="578"/>
      <c r="AC44" s="525"/>
      <c r="AD44" s="15"/>
      <c r="AE44" s="15"/>
      <c r="AF44" s="15"/>
      <c r="AG44" s="15"/>
      <c r="AH44" s="1"/>
      <c r="AI44" s="1"/>
      <c r="AJ44" s="1"/>
      <c r="AK44" s="1"/>
    </row>
    <row r="45" spans="1:37">
      <c r="A45" s="477" t="s">
        <v>167</v>
      </c>
      <c r="B45" s="492"/>
      <c r="C45" s="492"/>
      <c r="D45" s="492"/>
      <c r="E45" s="492"/>
      <c r="F45" s="492"/>
      <c r="G45" s="492"/>
      <c r="H45" s="492"/>
      <c r="I45" s="492"/>
      <c r="J45" s="492"/>
      <c r="K45" s="492"/>
      <c r="L45" s="492"/>
      <c r="M45" s="492"/>
      <c r="N45" s="492"/>
      <c r="O45" s="492"/>
      <c r="P45" s="492"/>
      <c r="Q45" s="492"/>
      <c r="R45" s="518"/>
      <c r="S45" s="518"/>
      <c r="T45" s="519"/>
      <c r="U45" s="519"/>
      <c r="V45" s="669"/>
      <c r="W45" s="669"/>
      <c r="X45" s="516"/>
      <c r="Y45" s="516"/>
      <c r="Z45" s="520"/>
      <c r="AA45" s="520"/>
      <c r="AB45" s="513"/>
      <c r="AC45" s="513"/>
      <c r="AD45" s="15"/>
      <c r="AE45" s="15"/>
      <c r="AF45" s="15"/>
      <c r="AG45" s="15"/>
      <c r="AH45" s="1"/>
      <c r="AI45" s="1"/>
      <c r="AJ45" s="1"/>
      <c r="AK45" s="1"/>
    </row>
    <row r="46" spans="1:37">
      <c r="A46" s="577" t="s">
        <v>168</v>
      </c>
      <c r="B46" s="578"/>
      <c r="C46" s="578"/>
      <c r="D46" s="578"/>
      <c r="E46" s="578"/>
      <c r="F46" s="578"/>
      <c r="G46" s="578"/>
      <c r="H46" s="578"/>
      <c r="I46" s="578"/>
      <c r="J46" s="578"/>
      <c r="K46" s="578"/>
      <c r="L46" s="578"/>
      <c r="M46" s="578"/>
      <c r="N46" s="578"/>
      <c r="O46" s="578"/>
      <c r="P46" s="578"/>
      <c r="Q46" s="578"/>
      <c r="R46" s="578"/>
      <c r="S46" s="578"/>
      <c r="T46" s="578"/>
      <c r="U46" s="578"/>
      <c r="V46" s="537"/>
      <c r="W46" s="537"/>
      <c r="X46" s="578"/>
      <c r="Y46" s="578"/>
      <c r="Z46" s="578"/>
      <c r="AA46" s="578"/>
      <c r="AB46" s="578"/>
      <c r="AC46" s="525"/>
      <c r="AD46" s="15"/>
      <c r="AE46" s="15"/>
      <c r="AF46" s="15"/>
      <c r="AG46" s="15"/>
      <c r="AH46" s="1"/>
      <c r="AI46" s="1"/>
      <c r="AJ46" s="1"/>
      <c r="AK46" s="1"/>
    </row>
    <row r="47" spans="1:37">
      <c r="A47" s="477" t="s">
        <v>169</v>
      </c>
      <c r="B47" s="519"/>
      <c r="C47" s="492"/>
      <c r="D47" s="492"/>
      <c r="E47" s="492"/>
      <c r="F47" s="492"/>
      <c r="G47" s="492"/>
      <c r="H47" s="492"/>
      <c r="I47" s="492"/>
      <c r="J47" s="492"/>
      <c r="K47" s="492"/>
      <c r="L47" s="492"/>
      <c r="M47" s="492"/>
      <c r="N47" s="492"/>
      <c r="O47" s="492"/>
      <c r="P47" s="492"/>
      <c r="Q47" s="492"/>
      <c r="R47" s="518"/>
      <c r="S47" s="518"/>
      <c r="T47" s="519">
        <f>B47</f>
        <v>0</v>
      </c>
      <c r="U47" s="519">
        <f>C47</f>
        <v>0</v>
      </c>
      <c r="V47" s="669"/>
      <c r="W47" s="669"/>
      <c r="X47" s="516"/>
      <c r="Y47" s="516"/>
      <c r="Z47" s="520"/>
      <c r="AA47" s="520"/>
      <c r="AB47" s="513"/>
      <c r="AC47" s="513"/>
      <c r="AD47" s="15"/>
      <c r="AE47" s="15"/>
      <c r="AF47" s="15"/>
      <c r="AG47" s="15"/>
      <c r="AH47" s="1"/>
      <c r="AI47" s="1"/>
      <c r="AJ47" s="1"/>
      <c r="AK47" s="1"/>
    </row>
    <row r="48" spans="1:37">
      <c r="A48" s="477" t="s">
        <v>171</v>
      </c>
      <c r="B48" s="519">
        <v>600</v>
      </c>
      <c r="C48" s="492">
        <v>-481</v>
      </c>
      <c r="D48" s="492"/>
      <c r="E48" s="492"/>
      <c r="F48" s="492"/>
      <c r="G48" s="492"/>
      <c r="H48" s="492"/>
      <c r="I48" s="492"/>
      <c r="J48" s="492"/>
      <c r="K48" s="492"/>
      <c r="L48" s="492"/>
      <c r="M48" s="492"/>
      <c r="N48" s="519">
        <v>163.75</v>
      </c>
      <c r="O48" s="492">
        <f>-163.75-1080+1080</f>
        <v>-163.75</v>
      </c>
      <c r="P48" s="492"/>
      <c r="Q48" s="492"/>
      <c r="R48" s="518"/>
      <c r="S48" s="518"/>
      <c r="T48" s="519">
        <f>B48+N48</f>
        <v>763.75</v>
      </c>
      <c r="U48" s="519">
        <f>C48+O48</f>
        <v>-644.75</v>
      </c>
      <c r="V48" s="669"/>
      <c r="W48" s="669"/>
      <c r="X48" s="516"/>
      <c r="Y48" s="516"/>
      <c r="Z48" s="520"/>
      <c r="AA48" s="520"/>
      <c r="AB48" s="513"/>
      <c r="AC48" s="513"/>
      <c r="AD48" s="15"/>
      <c r="AE48" s="15"/>
      <c r="AF48" s="15"/>
      <c r="AG48" s="15"/>
      <c r="AH48" s="1"/>
      <c r="AI48" s="1"/>
      <c r="AJ48" s="1"/>
      <c r="AK48" s="1"/>
    </row>
    <row r="49" spans="1:37">
      <c r="A49" s="477" t="s">
        <v>171</v>
      </c>
      <c r="B49" s="519">
        <v>1275</v>
      </c>
      <c r="C49" s="528">
        <v>-1220.8</v>
      </c>
      <c r="D49" s="519">
        <v>21</v>
      </c>
      <c r="E49" s="521">
        <f>-20.73</f>
        <v>-20.73</v>
      </c>
      <c r="F49" s="521"/>
      <c r="G49" s="521"/>
      <c r="H49" s="521"/>
      <c r="I49" s="521"/>
      <c r="J49" s="521"/>
      <c r="K49" s="521"/>
      <c r="L49" s="521"/>
      <c r="M49" s="521"/>
      <c r="N49" s="519">
        <v>240.5</v>
      </c>
      <c r="O49" s="521">
        <v>-240.5</v>
      </c>
      <c r="P49" s="519"/>
      <c r="Q49" s="529"/>
      <c r="R49" s="518"/>
      <c r="S49" s="518"/>
      <c r="T49" s="519">
        <f>+N49+D49+P49+B49</f>
        <v>1536.5</v>
      </c>
      <c r="U49" s="519">
        <f>E49+C49+O49</f>
        <v>-1482.03</v>
      </c>
      <c r="V49" s="669"/>
      <c r="W49" s="669"/>
      <c r="X49" s="516"/>
      <c r="Y49" s="516"/>
      <c r="Z49" s="520"/>
      <c r="AA49" s="520"/>
      <c r="AB49" s="513"/>
      <c r="AC49" s="513"/>
      <c r="AD49" s="15"/>
      <c r="AE49" s="15"/>
      <c r="AF49" s="15"/>
      <c r="AG49" s="15"/>
      <c r="AH49" s="1"/>
      <c r="AI49" s="1"/>
      <c r="AJ49" s="1"/>
      <c r="AK49" s="1"/>
    </row>
    <row r="50" spans="1:37">
      <c r="A50" s="477" t="s">
        <v>366</v>
      </c>
      <c r="B50" s="520">
        <v>7800</v>
      </c>
      <c r="C50" s="528"/>
      <c r="D50" s="519"/>
      <c r="E50" s="521"/>
      <c r="F50" s="521"/>
      <c r="G50" s="521"/>
      <c r="H50" s="521"/>
      <c r="I50" s="521"/>
      <c r="J50" s="521"/>
      <c r="K50" s="521"/>
      <c r="L50" s="521"/>
      <c r="M50" s="521"/>
      <c r="N50" s="519">
        <v>704.3</v>
      </c>
      <c r="O50" s="521">
        <f>-641.53-27.18-15.2-9.6-10.79</f>
        <v>-704.3</v>
      </c>
      <c r="P50" s="529"/>
      <c r="Q50" s="529"/>
      <c r="R50" s="518"/>
      <c r="S50" s="518"/>
      <c r="T50" s="519">
        <f>N50</f>
        <v>704.3</v>
      </c>
      <c r="U50" s="519">
        <f>O50</f>
        <v>-704.3</v>
      </c>
      <c r="V50" s="669"/>
      <c r="W50" s="669"/>
      <c r="X50" s="516"/>
      <c r="Y50" s="516"/>
      <c r="Z50" s="520">
        <f>B50</f>
        <v>7800</v>
      </c>
      <c r="AA50" s="520">
        <f>C50</f>
        <v>0</v>
      </c>
      <c r="AB50" s="513"/>
      <c r="AC50" s="513"/>
      <c r="AD50" s="15"/>
      <c r="AE50" s="15"/>
      <c r="AF50" s="15"/>
      <c r="AG50" s="15"/>
      <c r="AH50" s="1"/>
      <c r="AI50" s="1"/>
      <c r="AJ50" s="1"/>
      <c r="AK50" s="1"/>
    </row>
    <row r="51" spans="1:37">
      <c r="A51" s="477" t="s">
        <v>173</v>
      </c>
      <c r="B51" s="481"/>
      <c r="C51" s="623"/>
      <c r="D51" s="492"/>
      <c r="E51" s="623"/>
      <c r="F51" s="623"/>
      <c r="G51" s="623"/>
      <c r="H51" s="623"/>
      <c r="I51" s="623"/>
      <c r="J51" s="623"/>
      <c r="K51" s="623"/>
      <c r="L51" s="623"/>
      <c r="M51" s="623"/>
      <c r="N51" s="623"/>
      <c r="O51" s="623"/>
      <c r="P51" s="623"/>
      <c r="Q51" s="623"/>
      <c r="R51" s="518"/>
      <c r="S51" s="518"/>
      <c r="T51" s="519"/>
      <c r="U51" s="519"/>
      <c r="V51" s="669">
        <f>D51</f>
        <v>0</v>
      </c>
      <c r="W51" s="669">
        <f>C51</f>
        <v>0</v>
      </c>
      <c r="X51" s="516"/>
      <c r="Y51" s="516"/>
      <c r="Z51" s="520"/>
      <c r="AA51" s="520"/>
      <c r="AB51" s="513"/>
      <c r="AC51" s="513"/>
      <c r="AD51" s="15"/>
      <c r="AE51" s="15"/>
      <c r="AF51" s="15"/>
      <c r="AG51" s="15"/>
      <c r="AH51" s="1"/>
      <c r="AI51" s="1"/>
      <c r="AJ51" s="1"/>
      <c r="AK51" s="1"/>
    </row>
    <row r="52" spans="1:37">
      <c r="A52" s="477" t="s">
        <v>174</v>
      </c>
      <c r="B52" s="481"/>
      <c r="C52" s="623"/>
      <c r="D52" s="623"/>
      <c r="E52" s="623"/>
      <c r="F52" s="623"/>
      <c r="G52" s="623"/>
      <c r="H52" s="623"/>
      <c r="I52" s="623"/>
      <c r="J52" s="623"/>
      <c r="K52" s="623"/>
      <c r="L52" s="623"/>
      <c r="M52" s="623"/>
      <c r="N52" s="623"/>
      <c r="O52" s="623"/>
      <c r="P52" s="623"/>
      <c r="Q52" s="623"/>
      <c r="R52" s="518"/>
      <c r="S52" s="518"/>
      <c r="T52" s="519"/>
      <c r="U52" s="519"/>
      <c r="V52" s="669"/>
      <c r="W52" s="669"/>
      <c r="X52" s="516"/>
      <c r="Y52" s="516"/>
      <c r="Z52" s="520"/>
      <c r="AA52" s="520"/>
      <c r="AB52" s="513"/>
      <c r="AC52" s="513"/>
      <c r="AD52" s="15"/>
      <c r="AE52" s="15"/>
      <c r="AF52" s="15"/>
      <c r="AG52" s="15"/>
      <c r="AH52" s="1"/>
      <c r="AI52" s="1"/>
      <c r="AJ52" s="1"/>
      <c r="AK52" s="1"/>
    </row>
    <row r="53" spans="1:37">
      <c r="A53" s="477" t="s">
        <v>175</v>
      </c>
      <c r="B53" s="669">
        <f>144+(36*7)</f>
        <v>396</v>
      </c>
      <c r="C53" s="624">
        <v>-288</v>
      </c>
      <c r="D53" s="623"/>
      <c r="E53" s="623"/>
      <c r="F53" s="623"/>
      <c r="G53" s="623"/>
      <c r="H53" s="623"/>
      <c r="I53" s="623"/>
      <c r="J53" s="623"/>
      <c r="K53" s="623"/>
      <c r="L53" s="623"/>
      <c r="M53" s="623"/>
      <c r="N53" s="623"/>
      <c r="O53" s="623"/>
      <c r="P53" s="623"/>
      <c r="Q53" s="623"/>
      <c r="R53" s="518"/>
      <c r="S53" s="518"/>
      <c r="T53" s="519"/>
      <c r="U53" s="519"/>
      <c r="V53" s="669">
        <f>B53</f>
        <v>396</v>
      </c>
      <c r="W53" s="669">
        <f t="shared" ref="W53:W54" si="1">C53</f>
        <v>-288</v>
      </c>
      <c r="X53" s="516"/>
      <c r="Y53" s="516"/>
      <c r="Z53" s="520"/>
      <c r="AA53" s="520"/>
      <c r="AB53" s="513"/>
      <c r="AC53" s="513"/>
      <c r="AD53" s="15"/>
      <c r="AE53" s="15"/>
      <c r="AF53" s="15"/>
      <c r="AG53" s="15"/>
      <c r="AH53" s="1"/>
      <c r="AI53" s="1"/>
      <c r="AJ53" s="1"/>
      <c r="AK53" s="1"/>
    </row>
    <row r="54" spans="1:37">
      <c r="A54" s="477" t="s">
        <v>176</v>
      </c>
      <c r="B54" s="669"/>
      <c r="C54" s="623"/>
      <c r="D54" s="623"/>
      <c r="E54" s="623"/>
      <c r="F54" s="623"/>
      <c r="G54" s="623"/>
      <c r="H54" s="623"/>
      <c r="I54" s="623"/>
      <c r="J54" s="623"/>
      <c r="K54" s="623"/>
      <c r="L54" s="623"/>
      <c r="M54" s="623"/>
      <c r="N54" s="623"/>
      <c r="O54" s="623"/>
      <c r="P54" s="623"/>
      <c r="Q54" s="623"/>
      <c r="R54" s="518"/>
      <c r="S54" s="518"/>
      <c r="T54" s="519"/>
      <c r="U54" s="519"/>
      <c r="V54" s="669">
        <f>B54</f>
        <v>0</v>
      </c>
      <c r="W54" s="669">
        <f t="shared" si="1"/>
        <v>0</v>
      </c>
      <c r="X54" s="516"/>
      <c r="Y54" s="516"/>
      <c r="Z54" s="520"/>
      <c r="AA54" s="520"/>
      <c r="AB54" s="513"/>
      <c r="AC54" s="513"/>
      <c r="AD54" s="15"/>
      <c r="AE54" s="15"/>
      <c r="AF54" s="15"/>
      <c r="AG54" s="15"/>
      <c r="AH54" s="1"/>
      <c r="AI54" s="1"/>
      <c r="AJ54" s="1"/>
      <c r="AK54" s="1"/>
    </row>
    <row r="55" spans="1:37">
      <c r="A55" s="477" t="s">
        <v>177</v>
      </c>
      <c r="B55" s="669">
        <v>1475</v>
      </c>
      <c r="C55" s="624">
        <f>-464-267.05-191.91-490.96</f>
        <v>-1413.9199999999998</v>
      </c>
      <c r="D55" s="623"/>
      <c r="E55" s="623"/>
      <c r="F55" s="623"/>
      <c r="G55" s="623"/>
      <c r="H55" s="623"/>
      <c r="I55" s="623"/>
      <c r="J55" s="623"/>
      <c r="K55" s="623"/>
      <c r="L55" s="623"/>
      <c r="M55" s="623"/>
      <c r="N55" s="623"/>
      <c r="O55" s="623"/>
      <c r="P55" s="623"/>
      <c r="Q55" s="623"/>
      <c r="R55" s="518"/>
      <c r="S55" s="518"/>
      <c r="T55" s="519"/>
      <c r="U55" s="519"/>
      <c r="V55" s="669">
        <f>B55</f>
        <v>1475</v>
      </c>
      <c r="W55" s="669">
        <f>C55</f>
        <v>-1413.9199999999998</v>
      </c>
      <c r="X55" s="516"/>
      <c r="Y55" s="516"/>
      <c r="Z55" s="520"/>
      <c r="AA55" s="520"/>
      <c r="AB55" s="513"/>
      <c r="AC55" s="513"/>
      <c r="AD55" s="15"/>
      <c r="AE55" s="15"/>
      <c r="AF55" s="15"/>
      <c r="AG55" s="15"/>
      <c r="AH55" s="1"/>
      <c r="AI55" s="1"/>
      <c r="AJ55" s="1"/>
      <c r="AK55" s="1"/>
    </row>
    <row r="56" spans="1:37">
      <c r="A56" s="477" t="s">
        <v>220</v>
      </c>
      <c r="B56" s="492"/>
      <c r="C56" s="623"/>
      <c r="D56" s="519">
        <v>300</v>
      </c>
      <c r="E56" s="624"/>
      <c r="F56" s="623"/>
      <c r="G56" s="623"/>
      <c r="H56" s="623"/>
      <c r="I56" s="623"/>
      <c r="J56" s="623"/>
      <c r="K56" s="623"/>
      <c r="L56" s="623"/>
      <c r="M56" s="623"/>
      <c r="N56" s="623"/>
      <c r="O56" s="623"/>
      <c r="P56" s="623"/>
      <c r="Q56" s="623"/>
      <c r="R56" s="518"/>
      <c r="S56" s="518"/>
      <c r="T56" s="519">
        <f>D56</f>
        <v>300</v>
      </c>
      <c r="U56" s="519">
        <f>E56</f>
        <v>0</v>
      </c>
      <c r="V56" s="669"/>
      <c r="W56" s="669"/>
      <c r="X56" s="516">
        <f>B56</f>
        <v>0</v>
      </c>
      <c r="Y56" s="516">
        <f>C56</f>
        <v>0</v>
      </c>
      <c r="Z56" s="520"/>
      <c r="AA56" s="520"/>
      <c r="AB56" s="513"/>
      <c r="AC56" s="513"/>
      <c r="AD56" s="15"/>
      <c r="AE56" s="15"/>
      <c r="AF56" s="15"/>
      <c r="AG56" s="15"/>
      <c r="AH56" s="1"/>
      <c r="AI56" s="1"/>
      <c r="AJ56" s="1"/>
      <c r="AK56" s="1"/>
    </row>
    <row r="57" spans="1:37">
      <c r="A57" s="580" t="s">
        <v>182</v>
      </c>
      <c r="B57" s="581"/>
      <c r="C57" s="581"/>
      <c r="D57" s="581"/>
      <c r="E57" s="581"/>
      <c r="F57" s="581"/>
      <c r="G57" s="581"/>
      <c r="H57" s="581"/>
      <c r="I57" s="581"/>
      <c r="J57" s="581"/>
      <c r="K57" s="581"/>
      <c r="L57" s="581"/>
      <c r="M57" s="581"/>
      <c r="N57" s="581"/>
      <c r="O57" s="581"/>
      <c r="P57" s="581"/>
      <c r="Q57" s="581"/>
      <c r="R57" s="581"/>
      <c r="S57" s="581"/>
      <c r="T57" s="581"/>
      <c r="U57" s="581"/>
      <c r="V57" s="537"/>
      <c r="W57" s="537"/>
      <c r="X57" s="581"/>
      <c r="Y57" s="581"/>
      <c r="Z57" s="581"/>
      <c r="AA57" s="581"/>
      <c r="AB57" s="581"/>
      <c r="AC57" s="525"/>
      <c r="AD57" s="15"/>
      <c r="AE57" s="15"/>
      <c r="AF57" s="15"/>
      <c r="AG57" s="15"/>
      <c r="AH57" s="1"/>
      <c r="AI57" s="1"/>
      <c r="AJ57" s="1"/>
      <c r="AK57" s="1"/>
    </row>
    <row r="58" spans="1:37" s="666" customFormat="1">
      <c r="A58" s="500" t="s">
        <v>170</v>
      </c>
      <c r="B58" s="711">
        <v>1000</v>
      </c>
      <c r="C58" s="530">
        <f>-117.99-29.41-767.36</f>
        <v>-914.76</v>
      </c>
      <c r="D58" s="530"/>
      <c r="E58" s="530"/>
      <c r="F58" s="530"/>
      <c r="G58" s="530"/>
      <c r="H58" s="530"/>
      <c r="I58" s="530"/>
      <c r="J58" s="530"/>
      <c r="K58" s="530"/>
      <c r="L58" s="530"/>
      <c r="M58" s="530"/>
      <c r="N58" s="530"/>
      <c r="O58" s="530"/>
      <c r="P58" s="530"/>
      <c r="Q58" s="530"/>
      <c r="R58" s="518">
        <f>B58</f>
        <v>1000</v>
      </c>
      <c r="S58" s="518">
        <f>C58</f>
        <v>-914.76</v>
      </c>
      <c r="T58" s="519"/>
      <c r="U58" s="519"/>
      <c r="V58" s="669"/>
      <c r="W58" s="669"/>
      <c r="X58" s="516"/>
      <c r="Y58" s="516"/>
      <c r="Z58" s="520"/>
      <c r="AA58" s="520"/>
      <c r="AB58" s="513"/>
      <c r="AC58" s="513"/>
      <c r="AD58" s="702"/>
      <c r="AE58" s="702"/>
      <c r="AF58" s="702"/>
      <c r="AG58" s="702"/>
    </row>
    <row r="59" spans="1:37" s="666" customFormat="1">
      <c r="A59" s="500" t="s">
        <v>170</v>
      </c>
      <c r="B59" s="519">
        <v>1500</v>
      </c>
      <c r="C59" s="530">
        <v>-1488.66</v>
      </c>
      <c r="D59" s="530"/>
      <c r="E59" s="530"/>
      <c r="F59" s="530"/>
      <c r="G59" s="530"/>
      <c r="H59" s="530"/>
      <c r="I59" s="530"/>
      <c r="J59" s="530"/>
      <c r="K59" s="530"/>
      <c r="L59" s="530"/>
      <c r="M59" s="530"/>
      <c r="N59" s="530"/>
      <c r="O59" s="530"/>
      <c r="P59" s="530"/>
      <c r="Q59" s="530"/>
      <c r="R59" s="518"/>
      <c r="S59" s="518"/>
      <c r="T59" s="519">
        <f>B59</f>
        <v>1500</v>
      </c>
      <c r="U59" s="519">
        <f>C59</f>
        <v>-1488.66</v>
      </c>
      <c r="V59" s="669"/>
      <c r="W59" s="669"/>
      <c r="X59" s="516"/>
      <c r="Y59" s="516"/>
      <c r="Z59" s="520"/>
      <c r="AA59" s="520"/>
      <c r="AB59" s="513"/>
      <c r="AC59" s="513"/>
      <c r="AD59" s="702"/>
      <c r="AE59" s="702"/>
      <c r="AF59" s="702"/>
      <c r="AG59" s="702"/>
    </row>
    <row r="60" spans="1:37" s="666" customFormat="1">
      <c r="A60" s="500" t="s">
        <v>170</v>
      </c>
      <c r="B60" s="516">
        <v>300</v>
      </c>
      <c r="C60" s="530">
        <f>-105.83+36.7-47.97</f>
        <v>-117.1</v>
      </c>
      <c r="D60" s="530"/>
      <c r="E60" s="530"/>
      <c r="F60" s="530"/>
      <c r="G60" s="530"/>
      <c r="H60" s="530"/>
      <c r="I60" s="530"/>
      <c r="J60" s="530"/>
      <c r="K60" s="530"/>
      <c r="L60" s="530"/>
      <c r="M60" s="530"/>
      <c r="N60" s="530"/>
      <c r="O60" s="530"/>
      <c r="P60" s="530"/>
      <c r="Q60" s="530"/>
      <c r="R60" s="518"/>
      <c r="S60" s="518"/>
      <c r="T60" s="519"/>
      <c r="U60" s="519"/>
      <c r="V60" s="669"/>
      <c r="W60" s="669"/>
      <c r="X60" s="516">
        <f>B60</f>
        <v>300</v>
      </c>
      <c r="Y60" s="516">
        <f>C60</f>
        <v>-117.1</v>
      </c>
      <c r="Z60" s="520"/>
      <c r="AA60" s="520"/>
      <c r="AB60" s="513"/>
      <c r="AC60" s="513"/>
      <c r="AD60" s="702"/>
      <c r="AE60" s="702"/>
      <c r="AF60" s="702"/>
      <c r="AG60" s="702"/>
    </row>
    <row r="61" spans="1:37" s="666" customFormat="1">
      <c r="A61" s="500" t="s">
        <v>170</v>
      </c>
      <c r="B61" s="669"/>
      <c r="C61" s="530">
        <f>-30475+30475</f>
        <v>0</v>
      </c>
      <c r="D61" s="530"/>
      <c r="E61" s="530"/>
      <c r="F61" s="530"/>
      <c r="G61" s="530"/>
      <c r="H61" s="530"/>
      <c r="I61" s="530"/>
      <c r="J61" s="530"/>
      <c r="K61" s="530"/>
      <c r="L61" s="530"/>
      <c r="M61" s="530"/>
      <c r="N61" s="530"/>
      <c r="O61" s="530"/>
      <c r="P61" s="530"/>
      <c r="Q61" s="530"/>
      <c r="R61" s="518"/>
      <c r="S61" s="518"/>
      <c r="T61" s="519"/>
      <c r="U61" s="519"/>
      <c r="V61" s="669">
        <f>B61</f>
        <v>0</v>
      </c>
      <c r="W61" s="669">
        <f>C61</f>
        <v>0</v>
      </c>
      <c r="X61" s="516"/>
      <c r="Y61" s="516"/>
      <c r="Z61" s="520"/>
      <c r="AA61" s="520"/>
      <c r="AB61" s="513"/>
      <c r="AC61" s="513"/>
      <c r="AD61" s="702"/>
      <c r="AE61" s="702"/>
      <c r="AF61" s="702"/>
      <c r="AG61" s="702"/>
    </row>
    <row r="62" spans="1:37">
      <c r="A62" s="477" t="s">
        <v>186</v>
      </c>
      <c r="B62" s="518">
        <v>36388</v>
      </c>
      <c r="C62" s="624">
        <f>-5355-4760-8511.5-312.26-600</f>
        <v>-19538.759999999998</v>
      </c>
      <c r="D62" s="623"/>
      <c r="E62" s="623"/>
      <c r="F62" s="623"/>
      <c r="G62" s="623"/>
      <c r="H62" s="623"/>
      <c r="I62" s="623"/>
      <c r="J62" s="623"/>
      <c r="K62" s="623"/>
      <c r="L62" s="623"/>
      <c r="M62" s="623"/>
      <c r="N62" s="623"/>
      <c r="O62" s="623"/>
      <c r="P62" s="623"/>
      <c r="Q62" s="623"/>
      <c r="R62" s="518">
        <f>B62</f>
        <v>36388</v>
      </c>
      <c r="S62" s="518">
        <f>C62</f>
        <v>-19538.759999999998</v>
      </c>
      <c r="T62" s="519"/>
      <c r="U62" s="519"/>
      <c r="V62" s="669"/>
      <c r="W62" s="669"/>
      <c r="X62" s="516"/>
      <c r="Y62" s="516"/>
      <c r="Z62" s="520"/>
      <c r="AA62" s="520"/>
      <c r="AB62" s="513"/>
      <c r="AC62" s="513"/>
      <c r="AD62" s="15"/>
      <c r="AE62" s="15"/>
      <c r="AF62" s="15"/>
      <c r="AG62" s="15"/>
      <c r="AH62" s="1"/>
      <c r="AI62" s="1"/>
      <c r="AJ62" s="1"/>
      <c r="AK62" s="1"/>
    </row>
    <row r="63" spans="1:37">
      <c r="A63" s="477" t="s">
        <v>183</v>
      </c>
      <c r="B63" s="518"/>
      <c r="C63" s="624"/>
      <c r="D63" s="623"/>
      <c r="E63" s="623"/>
      <c r="F63" s="623"/>
      <c r="G63" s="623"/>
      <c r="H63" s="623"/>
      <c r="I63" s="623"/>
      <c r="J63" s="623"/>
      <c r="K63" s="623"/>
      <c r="L63" s="623"/>
      <c r="M63" s="623"/>
      <c r="N63" s="623"/>
      <c r="O63" s="623"/>
      <c r="P63" s="623"/>
      <c r="Q63" s="623"/>
      <c r="R63" s="518">
        <f>B63</f>
        <v>0</v>
      </c>
      <c r="S63" s="518">
        <f>C63</f>
        <v>0</v>
      </c>
      <c r="T63" s="519"/>
      <c r="U63" s="519"/>
      <c r="V63" s="669"/>
      <c r="W63" s="669"/>
      <c r="X63" s="516"/>
      <c r="Y63" s="516"/>
      <c r="Z63" s="520"/>
      <c r="AA63" s="520"/>
      <c r="AB63" s="513"/>
      <c r="AC63" s="513"/>
      <c r="AD63" s="15"/>
      <c r="AE63" s="15"/>
      <c r="AF63" s="15"/>
      <c r="AG63" s="15"/>
      <c r="AH63" s="1"/>
      <c r="AI63" s="1"/>
      <c r="AJ63" s="1"/>
      <c r="AK63" s="1"/>
    </row>
    <row r="64" spans="1:37">
      <c r="A64" s="477" t="s">
        <v>184</v>
      </c>
      <c r="B64" s="520">
        <f>6000</f>
        <v>6000</v>
      </c>
      <c r="C64" s="624">
        <f>-11.6-22.4-21.84-54.15-42.3-117.99-149-38.49-83.01-112.17-36.17+21.34-40.88-173-27-11.6-230-18.78-9.39-0.9-13+149-149-149-83.01-32.45-14.24-17.88-44.59+44.59-19.99-13.52-9.78-28.3-28.59-167.4-17.66-179.8-56.85-20.59-16.85-47.26-16.38-33.6-82</f>
        <v>-2227.4800000000005</v>
      </c>
      <c r="D64" s="623"/>
      <c r="E64" s="623"/>
      <c r="F64" s="623"/>
      <c r="G64" s="623"/>
      <c r="H64" s="623"/>
      <c r="I64" s="623"/>
      <c r="J64" s="623"/>
      <c r="K64" s="623"/>
      <c r="L64" s="623"/>
      <c r="M64" s="623"/>
      <c r="N64" s="623"/>
      <c r="O64" s="623"/>
      <c r="P64" s="623"/>
      <c r="Q64" s="623"/>
      <c r="R64" s="518"/>
      <c r="S64" s="518"/>
      <c r="T64" s="519"/>
      <c r="U64" s="519"/>
      <c r="V64" s="669"/>
      <c r="W64" s="669"/>
      <c r="X64" s="516"/>
      <c r="Y64" s="516"/>
      <c r="Z64" s="520">
        <f>B64</f>
        <v>6000</v>
      </c>
      <c r="AA64" s="520">
        <f>C64</f>
        <v>-2227.4800000000005</v>
      </c>
      <c r="AB64" s="513"/>
      <c r="AC64" s="513"/>
      <c r="AD64" s="15"/>
      <c r="AE64" s="15"/>
      <c r="AF64" s="15"/>
      <c r="AG64" s="15"/>
      <c r="AH64" s="1"/>
      <c r="AI64" s="1"/>
      <c r="AJ64" s="1"/>
      <c r="AK64" s="1"/>
    </row>
    <row r="65" spans="1:37" ht="11.25" customHeight="1">
      <c r="A65" s="477" t="s">
        <v>184</v>
      </c>
      <c r="B65" s="518">
        <v>2000</v>
      </c>
      <c r="C65" s="321">
        <f>-862.37-199.39-395-33.08-22.99-89.97-234.9</f>
        <v>-1837.7</v>
      </c>
      <c r="D65" s="623"/>
      <c r="E65" s="623"/>
      <c r="F65" s="623"/>
      <c r="G65" s="623"/>
      <c r="H65" s="623"/>
      <c r="I65" s="623"/>
      <c r="J65" s="623"/>
      <c r="K65" s="623"/>
      <c r="L65" s="623"/>
      <c r="M65" s="623"/>
      <c r="N65" s="623"/>
      <c r="O65" s="623"/>
      <c r="P65" s="623"/>
      <c r="Q65" s="623"/>
      <c r="R65" s="518">
        <f>B65</f>
        <v>2000</v>
      </c>
      <c r="S65" s="518">
        <f>C65</f>
        <v>-1837.7</v>
      </c>
      <c r="T65" s="519"/>
      <c r="U65" s="519"/>
      <c r="V65" s="669"/>
      <c r="W65" s="669"/>
      <c r="X65" s="516"/>
      <c r="Y65" s="516"/>
      <c r="Z65" s="520"/>
      <c r="AA65" s="520"/>
      <c r="AB65" s="513"/>
      <c r="AC65" s="513"/>
      <c r="AD65" s="15"/>
      <c r="AE65" s="15"/>
      <c r="AF65" s="15"/>
      <c r="AG65" s="15"/>
      <c r="AH65" s="1"/>
      <c r="AI65" s="1"/>
      <c r="AJ65" s="1"/>
      <c r="AK65" s="1"/>
    </row>
    <row r="66" spans="1:37" ht="11.25" customHeight="1">
      <c r="A66" s="477" t="s">
        <v>184</v>
      </c>
      <c r="B66" s="513">
        <v>1500</v>
      </c>
      <c r="C66" s="321">
        <f>-1274-77.99-26.1</f>
        <v>-1378.09</v>
      </c>
      <c r="D66" s="623"/>
      <c r="E66" s="623"/>
      <c r="F66" s="623"/>
      <c r="G66" s="623"/>
      <c r="H66" s="623"/>
      <c r="I66" s="623"/>
      <c r="J66" s="623"/>
      <c r="K66" s="623"/>
      <c r="L66" s="623"/>
      <c r="M66" s="623"/>
      <c r="N66" s="623"/>
      <c r="O66" s="623"/>
      <c r="P66" s="623"/>
      <c r="Q66" s="623"/>
      <c r="R66" s="518"/>
      <c r="S66" s="518"/>
      <c r="T66" s="519"/>
      <c r="U66" s="519"/>
      <c r="V66" s="669"/>
      <c r="W66" s="669"/>
      <c r="X66" s="516"/>
      <c r="Y66" s="516"/>
      <c r="Z66" s="520"/>
      <c r="AA66" s="520"/>
      <c r="AB66" s="513">
        <f>B66</f>
        <v>1500</v>
      </c>
      <c r="AC66" s="513">
        <f>C66</f>
        <v>-1378.09</v>
      </c>
      <c r="AD66" s="15"/>
      <c r="AE66" s="15"/>
      <c r="AF66" s="15"/>
      <c r="AG66" s="15"/>
      <c r="AH66" s="1"/>
      <c r="AI66" s="1"/>
      <c r="AJ66" s="1"/>
      <c r="AK66" s="1"/>
    </row>
    <row r="67" spans="1:37">
      <c r="A67" s="477" t="s">
        <v>246</v>
      </c>
      <c r="B67" s="623"/>
      <c r="C67" s="624"/>
      <c r="D67" s="623"/>
      <c r="E67" s="623"/>
      <c r="F67" s="623"/>
      <c r="G67" s="623"/>
      <c r="H67" s="623"/>
      <c r="I67" s="623"/>
      <c r="J67" s="623"/>
      <c r="K67" s="623"/>
      <c r="L67" s="623"/>
      <c r="M67" s="623"/>
      <c r="N67" s="623"/>
      <c r="O67" s="623"/>
      <c r="P67" s="623"/>
      <c r="Q67" s="623"/>
      <c r="R67" s="518"/>
      <c r="S67" s="518"/>
      <c r="T67" s="519"/>
      <c r="U67" s="519"/>
      <c r="V67" s="669"/>
      <c r="W67" s="669"/>
      <c r="X67" s="516"/>
      <c r="Y67" s="516"/>
      <c r="Z67" s="520"/>
      <c r="AA67" s="520"/>
      <c r="AB67" s="513"/>
      <c r="AC67" s="513"/>
      <c r="AD67" s="15"/>
      <c r="AE67" s="15"/>
      <c r="AF67" s="15"/>
      <c r="AG67" s="15"/>
      <c r="AH67" s="1"/>
      <c r="AI67" s="1"/>
      <c r="AJ67" s="1"/>
      <c r="AK67" s="1"/>
    </row>
    <row r="68" spans="1:37">
      <c r="A68" s="477" t="s">
        <v>199</v>
      </c>
      <c r="B68" s="513"/>
      <c r="C68" s="624">
        <v>-100</v>
      </c>
      <c r="D68" s="623"/>
      <c r="E68" s="623"/>
      <c r="F68" s="623"/>
      <c r="G68" s="623"/>
      <c r="H68" s="623"/>
      <c r="I68" s="623"/>
      <c r="J68" s="623"/>
      <c r="K68" s="623"/>
      <c r="L68" s="623"/>
      <c r="M68" s="623"/>
      <c r="N68" s="623"/>
      <c r="O68" s="623"/>
      <c r="P68" s="623"/>
      <c r="Q68" s="623"/>
      <c r="R68" s="518"/>
      <c r="S68" s="518"/>
      <c r="T68" s="519"/>
      <c r="U68" s="519"/>
      <c r="V68" s="669"/>
      <c r="W68" s="669"/>
      <c r="X68" s="516"/>
      <c r="Y68" s="516"/>
      <c r="Z68" s="520"/>
      <c r="AA68" s="520"/>
      <c r="AB68" s="513">
        <f>B68</f>
        <v>0</v>
      </c>
      <c r="AC68" s="513">
        <f>C68</f>
        <v>-100</v>
      </c>
      <c r="AD68" s="15"/>
      <c r="AE68" s="15"/>
      <c r="AF68" s="15"/>
      <c r="AG68" s="15"/>
      <c r="AH68" s="1"/>
      <c r="AI68" s="1"/>
      <c r="AJ68" s="1"/>
      <c r="AK68" s="1"/>
    </row>
    <row r="69" spans="1:37">
      <c r="A69" s="477" t="s">
        <v>199</v>
      </c>
      <c r="B69" s="518">
        <v>250</v>
      </c>
      <c r="C69" s="624">
        <f>-50-90</f>
        <v>-140</v>
      </c>
      <c r="D69" s="623"/>
      <c r="E69" s="623"/>
      <c r="F69" s="623"/>
      <c r="G69" s="623"/>
      <c r="H69" s="623"/>
      <c r="I69" s="623"/>
      <c r="J69" s="623"/>
      <c r="K69" s="623"/>
      <c r="L69" s="623"/>
      <c r="M69" s="623"/>
      <c r="N69" s="623"/>
      <c r="O69" s="623"/>
      <c r="P69" s="623"/>
      <c r="Q69" s="623"/>
      <c r="R69" s="518">
        <f>B69</f>
        <v>250</v>
      </c>
      <c r="S69" s="518">
        <f>C69</f>
        <v>-140</v>
      </c>
      <c r="T69" s="519"/>
      <c r="U69" s="519"/>
      <c r="V69" s="669"/>
      <c r="W69" s="669"/>
      <c r="X69" s="516"/>
      <c r="Y69" s="516"/>
      <c r="Z69" s="520"/>
      <c r="AA69" s="520"/>
      <c r="AB69" s="513"/>
      <c r="AC69" s="513"/>
      <c r="AD69" s="15"/>
      <c r="AE69" s="15"/>
      <c r="AF69" s="15"/>
      <c r="AG69" s="15"/>
      <c r="AH69" s="1"/>
      <c r="AI69" s="1"/>
      <c r="AJ69" s="1"/>
      <c r="AK69" s="1"/>
    </row>
    <row r="70" spans="1:37">
      <c r="A70" s="477" t="s">
        <v>185</v>
      </c>
      <c r="B70" s="518"/>
      <c r="C70" s="623"/>
      <c r="D70" s="623"/>
      <c r="E70" s="623"/>
      <c r="F70" s="623"/>
      <c r="G70" s="623"/>
      <c r="H70" s="623"/>
      <c r="I70" s="623"/>
      <c r="J70" s="623"/>
      <c r="K70" s="623"/>
      <c r="L70" s="623"/>
      <c r="M70" s="623"/>
      <c r="N70" s="623"/>
      <c r="O70" s="623"/>
      <c r="P70" s="623"/>
      <c r="Q70" s="623"/>
      <c r="R70" s="518">
        <f>B70</f>
        <v>0</v>
      </c>
      <c r="S70" s="518"/>
      <c r="T70" s="519"/>
      <c r="U70" s="519"/>
      <c r="V70" s="669"/>
      <c r="W70" s="669"/>
      <c r="X70" s="516"/>
      <c r="Y70" s="516"/>
      <c r="Z70" s="520"/>
      <c r="AA70" s="520"/>
      <c r="AB70" s="513"/>
      <c r="AC70" s="513"/>
      <c r="AD70" s="15"/>
      <c r="AE70" s="15"/>
      <c r="AF70" s="15"/>
      <c r="AG70" s="15"/>
      <c r="AH70" s="1"/>
      <c r="AI70" s="1"/>
      <c r="AJ70" s="1"/>
      <c r="AK70" s="1"/>
    </row>
    <row r="71" spans="1:37">
      <c r="A71" s="577" t="s">
        <v>168</v>
      </c>
      <c r="B71" s="578"/>
      <c r="C71" s="578"/>
      <c r="D71" s="578"/>
      <c r="E71" s="578"/>
      <c r="F71" s="578"/>
      <c r="G71" s="578"/>
      <c r="H71" s="578"/>
      <c r="I71" s="578"/>
      <c r="J71" s="578"/>
      <c r="K71" s="578"/>
      <c r="L71" s="578"/>
      <c r="M71" s="578"/>
      <c r="N71" s="578"/>
      <c r="O71" s="578"/>
      <c r="P71" s="578"/>
      <c r="Q71" s="578"/>
      <c r="R71" s="578"/>
      <c r="S71" s="578"/>
      <c r="T71" s="578"/>
      <c r="U71" s="578"/>
      <c r="V71" s="537"/>
      <c r="W71" s="537"/>
      <c r="X71" s="578"/>
      <c r="Y71" s="578"/>
      <c r="Z71" s="578"/>
      <c r="AA71" s="578"/>
      <c r="AB71" s="578"/>
      <c r="AC71" s="525"/>
      <c r="AD71" s="15"/>
      <c r="AE71" s="15"/>
      <c r="AF71" s="15"/>
      <c r="AG71" s="15"/>
      <c r="AH71" s="1"/>
      <c r="AI71" s="1"/>
      <c r="AJ71" s="1"/>
      <c r="AK71" s="1"/>
    </row>
    <row r="72" spans="1:37">
      <c r="A72" s="477" t="s">
        <v>208</v>
      </c>
      <c r="B72" s="623"/>
      <c r="C72" s="623"/>
      <c r="D72" s="623"/>
      <c r="E72" s="623"/>
      <c r="F72" s="623"/>
      <c r="G72" s="623"/>
      <c r="H72" s="623"/>
      <c r="I72" s="623"/>
      <c r="J72" s="623"/>
      <c r="K72" s="623"/>
      <c r="L72" s="623"/>
      <c r="M72" s="623"/>
      <c r="N72" s="623"/>
      <c r="O72" s="623"/>
      <c r="P72" s="623"/>
      <c r="Q72" s="623"/>
      <c r="R72" s="518"/>
      <c r="S72" s="518"/>
      <c r="T72" s="519"/>
      <c r="U72" s="519"/>
      <c r="V72" s="669"/>
      <c r="W72" s="669"/>
      <c r="X72" s="516"/>
      <c r="Y72" s="516"/>
      <c r="Z72" s="520"/>
      <c r="AA72" s="520"/>
      <c r="AB72" s="513"/>
      <c r="AC72" s="513"/>
      <c r="AD72" s="15"/>
      <c r="AE72" s="15"/>
      <c r="AF72" s="15"/>
      <c r="AG72" s="15"/>
      <c r="AH72" s="1"/>
      <c r="AI72" s="1"/>
      <c r="AJ72" s="1"/>
      <c r="AK72" s="1"/>
    </row>
    <row r="73" spans="1:37">
      <c r="A73" s="477" t="s">
        <v>187</v>
      </c>
      <c r="B73" s="623"/>
      <c r="C73" s="623"/>
      <c r="D73" s="623"/>
      <c r="E73" s="623"/>
      <c r="F73" s="623"/>
      <c r="G73" s="623" t="s">
        <v>352</v>
      </c>
      <c r="H73" s="623"/>
      <c r="I73" s="623"/>
      <c r="J73" s="623"/>
      <c r="K73" s="623"/>
      <c r="L73" s="623"/>
      <c r="M73" s="623"/>
      <c r="N73" s="623"/>
      <c r="O73" s="623"/>
      <c r="P73" s="623"/>
      <c r="Q73" s="623"/>
      <c r="R73" s="518"/>
      <c r="S73" s="518"/>
      <c r="T73" s="519"/>
      <c r="U73" s="519"/>
      <c r="V73" s="669"/>
      <c r="W73" s="669"/>
      <c r="X73" s="516"/>
      <c r="Y73" s="516"/>
      <c r="Z73" s="520"/>
      <c r="AA73" s="520"/>
      <c r="AB73" s="513"/>
      <c r="AC73" s="513"/>
      <c r="AD73" s="15"/>
      <c r="AE73" s="15"/>
      <c r="AF73" s="15"/>
      <c r="AG73" s="15"/>
      <c r="AH73" s="1"/>
      <c r="AI73" s="1"/>
      <c r="AJ73" s="1"/>
      <c r="AK73" s="1"/>
    </row>
    <row r="74" spans="1:37">
      <c r="A74" s="477" t="s">
        <v>188</v>
      </c>
      <c r="B74" s="623"/>
      <c r="C74" s="623"/>
      <c r="D74" s="623"/>
      <c r="E74" s="623"/>
      <c r="F74" s="623"/>
      <c r="G74" s="623"/>
      <c r="H74" s="623"/>
      <c r="I74" s="623"/>
      <c r="J74" s="623"/>
      <c r="K74" s="623"/>
      <c r="L74" s="623"/>
      <c r="M74" s="623"/>
      <c r="N74" s="623"/>
      <c r="O74" s="623"/>
      <c r="P74" s="623"/>
      <c r="Q74" s="623"/>
      <c r="R74" s="518"/>
      <c r="S74" s="518">
        <f>G165</f>
        <v>0</v>
      </c>
      <c r="T74" s="519"/>
      <c r="U74" s="519"/>
      <c r="V74" s="669"/>
      <c r="W74" s="669"/>
      <c r="X74" s="516"/>
      <c r="Y74" s="516"/>
      <c r="Z74" s="520"/>
      <c r="AA74" s="520"/>
      <c r="AB74" s="513"/>
      <c r="AC74" s="513"/>
      <c r="AD74" s="15"/>
      <c r="AE74" s="15"/>
      <c r="AF74" s="15"/>
      <c r="AG74" s="15"/>
      <c r="AH74" s="1"/>
      <c r="AI74" s="1"/>
      <c r="AJ74" s="1"/>
      <c r="AK74" s="1"/>
    </row>
    <row r="75" spans="1:37">
      <c r="A75" s="477" t="s">
        <v>189</v>
      </c>
      <c r="B75" s="623"/>
      <c r="C75" s="623"/>
      <c r="D75" s="623"/>
      <c r="E75" s="464"/>
      <c r="F75" s="623"/>
      <c r="G75" s="623"/>
      <c r="H75" s="623"/>
      <c r="I75" s="623"/>
      <c r="J75" s="623"/>
      <c r="K75" s="623"/>
      <c r="L75" s="623"/>
      <c r="M75" s="623"/>
      <c r="N75" s="623"/>
      <c r="O75" s="623"/>
      <c r="P75" s="623"/>
      <c r="Q75" s="623"/>
      <c r="R75" s="518">
        <f>B75</f>
        <v>0</v>
      </c>
      <c r="S75" s="518">
        <f>C75</f>
        <v>0</v>
      </c>
      <c r="T75" s="519"/>
      <c r="U75" s="519"/>
      <c r="V75" s="669"/>
      <c r="W75" s="669"/>
      <c r="X75" s="516"/>
      <c r="Y75" s="516"/>
      <c r="Z75" s="520"/>
      <c r="AA75" s="520"/>
      <c r="AB75" s="513"/>
      <c r="AC75" s="513"/>
      <c r="AD75" s="15"/>
      <c r="AE75" s="15"/>
      <c r="AF75" s="15"/>
      <c r="AG75" s="15"/>
      <c r="AH75" s="1"/>
      <c r="AI75" s="1"/>
      <c r="AJ75" s="1"/>
      <c r="AK75" s="1"/>
    </row>
    <row r="76" spans="1:37">
      <c r="A76" s="477" t="s">
        <v>190</v>
      </c>
      <c r="B76" s="623"/>
      <c r="C76" s="623"/>
      <c r="D76" s="623"/>
      <c r="E76" s="464"/>
      <c r="F76" s="623"/>
      <c r="G76" s="623"/>
      <c r="H76" s="623"/>
      <c r="I76" s="623"/>
      <c r="J76" s="623"/>
      <c r="K76" s="623"/>
      <c r="L76" s="623"/>
      <c r="M76" s="623"/>
      <c r="N76" s="623"/>
      <c r="O76" s="623"/>
      <c r="P76" s="623"/>
      <c r="Q76" s="623"/>
      <c r="R76" s="518"/>
      <c r="S76" s="518"/>
      <c r="T76" s="519"/>
      <c r="U76" s="519"/>
      <c r="V76" s="669"/>
      <c r="W76" s="669"/>
      <c r="X76" s="516"/>
      <c r="Y76" s="516"/>
      <c r="Z76" s="520"/>
      <c r="AA76" s="520"/>
      <c r="AB76" s="513"/>
      <c r="AC76" s="513"/>
      <c r="AD76" s="15"/>
      <c r="AE76" s="15"/>
      <c r="AF76" s="15"/>
      <c r="AG76" s="15"/>
      <c r="AH76" s="1"/>
      <c r="AI76" s="1"/>
      <c r="AJ76" s="1"/>
      <c r="AK76" s="1"/>
    </row>
    <row r="77" spans="1:37">
      <c r="A77" s="477" t="s">
        <v>191</v>
      </c>
      <c r="B77" s="623"/>
      <c r="C77" s="623"/>
      <c r="D77" s="623"/>
      <c r="E77" s="623"/>
      <c r="F77" s="623"/>
      <c r="G77" s="623"/>
      <c r="H77" s="623"/>
      <c r="I77" s="623"/>
      <c r="J77" s="623"/>
      <c r="K77" s="623"/>
      <c r="L77" s="623"/>
      <c r="M77" s="623"/>
      <c r="N77" s="623"/>
      <c r="O77" s="623"/>
      <c r="P77" s="623"/>
      <c r="Q77" s="623"/>
      <c r="R77" s="518"/>
      <c r="S77" s="518"/>
      <c r="T77" s="519"/>
      <c r="U77" s="519"/>
      <c r="V77" s="669"/>
      <c r="W77" s="669"/>
      <c r="X77" s="516"/>
      <c r="Y77" s="516"/>
      <c r="Z77" s="520"/>
      <c r="AA77" s="520"/>
      <c r="AB77" s="513"/>
      <c r="AC77" s="513"/>
      <c r="AD77" s="15"/>
      <c r="AE77" s="15"/>
      <c r="AF77" s="15"/>
      <c r="AG77" s="15"/>
      <c r="AH77" s="1"/>
      <c r="AI77" s="1"/>
      <c r="AJ77" s="1"/>
      <c r="AK77" s="1"/>
    </row>
    <row r="78" spans="1:37">
      <c r="A78" s="477" t="s">
        <v>202</v>
      </c>
      <c r="B78" s="623"/>
      <c r="C78" s="623"/>
      <c r="D78" s="623"/>
      <c r="E78" s="623"/>
      <c r="F78" s="623"/>
      <c r="G78" s="623"/>
      <c r="H78" s="623"/>
      <c r="I78" s="623"/>
      <c r="J78" s="623"/>
      <c r="K78" s="623"/>
      <c r="L78" s="623"/>
      <c r="M78" s="623"/>
      <c r="N78" s="623"/>
      <c r="O78" s="623"/>
      <c r="P78" s="623"/>
      <c r="Q78" s="623"/>
      <c r="R78" s="518"/>
      <c r="S78" s="518"/>
      <c r="T78" s="519"/>
      <c r="U78" s="519"/>
      <c r="V78" s="669"/>
      <c r="W78" s="669"/>
      <c r="X78" s="516"/>
      <c r="Y78" s="516"/>
      <c r="Z78" s="520"/>
      <c r="AA78" s="520"/>
      <c r="AB78" s="513"/>
      <c r="AC78" s="513"/>
      <c r="AD78" s="15"/>
      <c r="AE78" s="15"/>
      <c r="AF78" s="15"/>
      <c r="AG78" s="15"/>
      <c r="AH78" s="1"/>
      <c r="AI78" s="1"/>
      <c r="AJ78" s="1"/>
      <c r="AK78" s="1"/>
    </row>
    <row r="79" spans="1:37">
      <c r="A79" s="477" t="s">
        <v>203</v>
      </c>
      <c r="B79" s="623"/>
      <c r="C79" s="623"/>
      <c r="D79" s="623"/>
      <c r="E79" s="623"/>
      <c r="F79" s="623"/>
      <c r="G79" s="623"/>
      <c r="H79" s="623"/>
      <c r="I79" s="623"/>
      <c r="J79" s="623"/>
      <c r="K79" s="623"/>
      <c r="L79" s="623"/>
      <c r="M79" s="623"/>
      <c r="N79" s="623"/>
      <c r="O79" s="623"/>
      <c r="P79" s="623"/>
      <c r="Q79" s="623"/>
      <c r="R79" s="518"/>
      <c r="S79" s="518"/>
      <c r="T79" s="519"/>
      <c r="U79" s="519"/>
      <c r="V79" s="669"/>
      <c r="W79" s="669"/>
      <c r="X79" s="516"/>
      <c r="Y79" s="516"/>
      <c r="Z79" s="520"/>
      <c r="AA79" s="520"/>
      <c r="AB79" s="513"/>
      <c r="AC79" s="513"/>
      <c r="AD79" s="15"/>
      <c r="AE79" s="15"/>
      <c r="AF79" s="15"/>
      <c r="AG79" s="15"/>
      <c r="AH79" s="1"/>
      <c r="AI79" s="1"/>
      <c r="AJ79" s="1"/>
      <c r="AK79" s="1"/>
    </row>
    <row r="80" spans="1:37">
      <c r="A80" s="477" t="s">
        <v>201</v>
      </c>
      <c r="B80" s="520">
        <f>(8*((20.98*(1867+4571))/12))+(4*((21.61*(1867+4571))/12))</f>
        <v>136421.21999999997</v>
      </c>
      <c r="C80" s="624">
        <f>-33767.31-11255.77-11255.77-11255.77-11255.77-11255.77-11593.77</f>
        <v>-101639.93000000002</v>
      </c>
      <c r="D80" s="623"/>
      <c r="E80" s="623"/>
      <c r="F80" s="623"/>
      <c r="G80" s="623"/>
      <c r="H80" s="623"/>
      <c r="I80" s="623"/>
      <c r="J80" s="623"/>
      <c r="K80" s="623"/>
      <c r="L80" s="623"/>
      <c r="M80" s="623"/>
      <c r="N80" s="623"/>
      <c r="O80" s="623"/>
      <c r="P80" s="623"/>
      <c r="Q80" s="623"/>
      <c r="R80" s="518"/>
      <c r="S80" s="518"/>
      <c r="T80" s="519"/>
      <c r="U80" s="519"/>
      <c r="V80" s="669"/>
      <c r="W80" s="669"/>
      <c r="X80" s="516"/>
      <c r="Y80" s="516"/>
      <c r="Z80" s="520">
        <f>B80</f>
        <v>136421.21999999997</v>
      </c>
      <c r="AA80" s="520">
        <f>C80</f>
        <v>-101639.93000000002</v>
      </c>
      <c r="AB80" s="513"/>
      <c r="AC80" s="513"/>
      <c r="AD80" s="15"/>
      <c r="AE80" s="15"/>
      <c r="AF80" s="15"/>
      <c r="AG80" s="15"/>
      <c r="AH80" s="1"/>
      <c r="AI80" s="1"/>
      <c r="AJ80" s="1"/>
      <c r="AK80" s="1"/>
    </row>
    <row r="81" spans="1:37">
      <c r="A81" s="464" t="s">
        <v>200</v>
      </c>
      <c r="B81" s="327"/>
      <c r="C81" s="481"/>
      <c r="D81" s="481"/>
      <c r="E81" s="481"/>
      <c r="F81" s="481"/>
      <c r="G81" s="481"/>
      <c r="H81" s="481"/>
      <c r="I81" s="481"/>
      <c r="J81" s="481"/>
      <c r="K81" s="481"/>
      <c r="L81" s="481"/>
      <c r="M81" s="481"/>
      <c r="N81" s="481"/>
      <c r="O81" s="481"/>
      <c r="P81" s="508"/>
      <c r="Q81" s="508"/>
      <c r="R81" s="594"/>
      <c r="S81" s="594"/>
      <c r="T81" s="519"/>
      <c r="U81" s="519"/>
      <c r="V81" s="669"/>
      <c r="W81" s="669"/>
      <c r="X81" s="516"/>
      <c r="Y81" s="516"/>
      <c r="Z81" s="520"/>
      <c r="AA81" s="520"/>
      <c r="AB81" s="513">
        <f>B81</f>
        <v>0</v>
      </c>
      <c r="AC81" s="513">
        <f>C81</f>
        <v>0</v>
      </c>
      <c r="AD81" s="15"/>
      <c r="AE81" s="15"/>
      <c r="AF81" s="15"/>
      <c r="AG81" s="15"/>
      <c r="AH81" s="1"/>
      <c r="AI81" s="1"/>
      <c r="AJ81" s="1"/>
      <c r="AK81" s="1"/>
    </row>
    <row r="82" spans="1:37">
      <c r="A82" s="577" t="s">
        <v>192</v>
      </c>
      <c r="B82" s="578"/>
      <c r="C82" s="578"/>
      <c r="D82" s="578"/>
      <c r="E82" s="578"/>
      <c r="F82" s="578"/>
      <c r="G82" s="578"/>
      <c r="H82" s="578"/>
      <c r="I82" s="578"/>
      <c r="J82" s="578"/>
      <c r="K82" s="578"/>
      <c r="L82" s="578"/>
      <c r="M82" s="578"/>
      <c r="N82" s="578"/>
      <c r="O82" s="578"/>
      <c r="P82" s="578"/>
      <c r="Q82" s="578"/>
      <c r="R82" s="578"/>
      <c r="S82" s="578"/>
      <c r="T82" s="578"/>
      <c r="U82" s="578"/>
      <c r="V82" s="537"/>
      <c r="W82" s="537"/>
      <c r="X82" s="578"/>
      <c r="Y82" s="578"/>
      <c r="Z82" s="578"/>
      <c r="AA82" s="578"/>
      <c r="AB82" s="578"/>
      <c r="AC82" s="578"/>
      <c r="AD82" s="15"/>
      <c r="AE82" s="15"/>
      <c r="AF82" s="15"/>
      <c r="AG82" s="15"/>
      <c r="AH82" s="1"/>
      <c r="AI82" s="1"/>
      <c r="AJ82" s="1"/>
      <c r="AK82" s="1"/>
    </row>
    <row r="83" spans="1:37">
      <c r="A83" s="477" t="s">
        <v>193</v>
      </c>
      <c r="B83" s="623"/>
      <c r="C83" s="623"/>
      <c r="D83" s="623"/>
      <c r="E83" s="623"/>
      <c r="F83" s="623"/>
      <c r="G83" s="623"/>
      <c r="H83" s="623"/>
      <c r="I83" s="623"/>
      <c r="J83" s="623"/>
      <c r="K83" s="623"/>
      <c r="L83" s="623"/>
      <c r="M83" s="623"/>
      <c r="N83" s="623"/>
      <c r="O83" s="623"/>
      <c r="P83" s="623"/>
      <c r="Q83" s="623"/>
      <c r="R83" s="518"/>
      <c r="S83" s="518"/>
      <c r="T83" s="519"/>
      <c r="U83" s="519"/>
      <c r="V83" s="669"/>
      <c r="W83" s="669"/>
      <c r="X83" s="516"/>
      <c r="Y83" s="516"/>
      <c r="Z83" s="520"/>
      <c r="AA83" s="520"/>
      <c r="AB83" s="513"/>
      <c r="AC83" s="513"/>
      <c r="AD83" s="15"/>
      <c r="AE83" s="15"/>
      <c r="AF83" s="15"/>
      <c r="AG83" s="15"/>
      <c r="AH83" s="1"/>
      <c r="AI83" s="1"/>
      <c r="AJ83" s="1"/>
      <c r="AK83" s="1"/>
    </row>
    <row r="84" spans="1:37">
      <c r="A84" s="477" t="s">
        <v>194</v>
      </c>
      <c r="B84" s="623"/>
      <c r="C84" s="623"/>
      <c r="D84" s="623"/>
      <c r="E84" s="623"/>
      <c r="F84" s="623"/>
      <c r="G84" s="623"/>
      <c r="H84" s="623"/>
      <c r="I84" s="623"/>
      <c r="J84" s="623"/>
      <c r="K84" s="623"/>
      <c r="L84" s="623"/>
      <c r="M84" s="623"/>
      <c r="N84" s="623"/>
      <c r="O84" s="623"/>
      <c r="P84" s="623"/>
      <c r="Q84" s="623"/>
      <c r="R84" s="518"/>
      <c r="S84" s="518"/>
      <c r="T84" s="519"/>
      <c r="U84" s="519"/>
      <c r="V84" s="669"/>
      <c r="W84" s="669"/>
      <c r="X84" s="516"/>
      <c r="Y84" s="516"/>
      <c r="Z84" s="520"/>
      <c r="AA84" s="520"/>
      <c r="AB84" s="513"/>
      <c r="AC84" s="513"/>
      <c r="AD84" s="15"/>
      <c r="AE84" s="15"/>
      <c r="AF84" s="15"/>
      <c r="AG84" s="15"/>
      <c r="AH84" s="1"/>
      <c r="AI84" s="1"/>
      <c r="AJ84" s="1"/>
      <c r="AK84" s="1"/>
    </row>
    <row r="85" spans="1:37">
      <c r="A85" s="477" t="s">
        <v>195</v>
      </c>
      <c r="B85" s="623"/>
      <c r="C85" s="623"/>
      <c r="D85" s="623"/>
      <c r="E85" s="623"/>
      <c r="F85" s="623"/>
      <c r="G85" s="623"/>
      <c r="H85" s="623"/>
      <c r="I85" s="623"/>
      <c r="J85" s="623"/>
      <c r="K85" s="623"/>
      <c r="L85" s="623"/>
      <c r="M85" s="623"/>
      <c r="N85" s="623"/>
      <c r="O85" s="623"/>
      <c r="P85" s="623"/>
      <c r="Q85" s="623"/>
      <c r="R85" s="518"/>
      <c r="S85" s="518"/>
      <c r="T85" s="519"/>
      <c r="U85" s="519"/>
      <c r="V85" s="669"/>
      <c r="W85" s="669"/>
      <c r="X85" s="516"/>
      <c r="Y85" s="516"/>
      <c r="Z85" s="520"/>
      <c r="AA85" s="520"/>
      <c r="AB85" s="513"/>
      <c r="AC85" s="513"/>
      <c r="AD85" s="15"/>
      <c r="AE85" s="15"/>
      <c r="AF85" s="15"/>
      <c r="AG85" s="15"/>
      <c r="AH85" s="1"/>
      <c r="AI85" s="1"/>
      <c r="AJ85" s="1"/>
      <c r="AK85" s="1"/>
    </row>
    <row r="86" spans="1:37">
      <c r="A86" s="477" t="s">
        <v>196</v>
      </c>
      <c r="B86" s="623"/>
      <c r="C86" s="623"/>
      <c r="D86" s="623"/>
      <c r="E86" s="623"/>
      <c r="F86" s="623"/>
      <c r="G86" s="623"/>
      <c r="H86" s="669">
        <v>500</v>
      </c>
      <c r="I86" s="623"/>
      <c r="J86" s="623"/>
      <c r="K86" s="623"/>
      <c r="L86" s="623"/>
      <c r="M86" s="623"/>
      <c r="N86" s="623"/>
      <c r="O86" s="623"/>
      <c r="P86" s="623"/>
      <c r="Q86" s="623"/>
      <c r="R86" s="518"/>
      <c r="S86" s="518"/>
      <c r="T86" s="519"/>
      <c r="U86" s="519"/>
      <c r="V86" s="669">
        <f>H86</f>
        <v>500</v>
      </c>
      <c r="W86" s="669"/>
      <c r="X86" s="516"/>
      <c r="Y86" s="516"/>
      <c r="Z86" s="520"/>
      <c r="AA86" s="520"/>
      <c r="AB86" s="513"/>
      <c r="AC86" s="513"/>
      <c r="AD86" s="15"/>
      <c r="AE86" s="15"/>
      <c r="AF86" s="15"/>
      <c r="AG86" s="15"/>
      <c r="AH86" s="1"/>
      <c r="AI86" s="1"/>
      <c r="AJ86" s="1"/>
      <c r="AK86" s="1"/>
    </row>
    <row r="87" spans="1:37">
      <c r="A87" s="477" t="s">
        <v>197</v>
      </c>
      <c r="B87" s="623"/>
      <c r="C87" s="623"/>
      <c r="D87" s="623"/>
      <c r="E87" s="623"/>
      <c r="F87" s="623"/>
      <c r="G87" s="623"/>
      <c r="H87" s="623"/>
      <c r="I87" s="623"/>
      <c r="J87" s="623"/>
      <c r="K87" s="623"/>
      <c r="L87" s="623"/>
      <c r="M87" s="623"/>
      <c r="N87" s="623"/>
      <c r="O87" s="623"/>
      <c r="P87" s="623"/>
      <c r="Q87" s="623"/>
      <c r="R87" s="518"/>
      <c r="S87" s="518"/>
      <c r="T87" s="519"/>
      <c r="U87" s="519"/>
      <c r="V87" s="669"/>
      <c r="W87" s="669"/>
      <c r="X87" s="516"/>
      <c r="Y87" s="516"/>
      <c r="Z87" s="520"/>
      <c r="AA87" s="520"/>
      <c r="AB87" s="513"/>
      <c r="AC87" s="513"/>
      <c r="AD87" s="15"/>
      <c r="AE87" s="15"/>
      <c r="AF87" s="15"/>
      <c r="AG87" s="15"/>
      <c r="AH87" s="1"/>
      <c r="AI87" s="1"/>
      <c r="AJ87" s="1"/>
      <c r="AK87" s="1"/>
    </row>
    <row r="88" spans="1:37">
      <c r="A88" s="477" t="s">
        <v>198</v>
      </c>
      <c r="B88" s="623"/>
      <c r="C88" s="623"/>
      <c r="D88" s="623"/>
      <c r="E88" s="623"/>
      <c r="F88" s="623"/>
      <c r="G88" s="623"/>
      <c r="H88" s="623"/>
      <c r="I88" s="623"/>
      <c r="J88" s="623"/>
      <c r="K88" s="623"/>
      <c r="L88" s="623"/>
      <c r="M88" s="623"/>
      <c r="N88" s="623"/>
      <c r="O88" s="623"/>
      <c r="P88" s="623"/>
      <c r="Q88" s="623"/>
      <c r="R88" s="518"/>
      <c r="S88" s="518"/>
      <c r="T88" s="519"/>
      <c r="U88" s="519"/>
      <c r="V88" s="669"/>
      <c r="W88" s="669"/>
      <c r="X88" s="516"/>
      <c r="Y88" s="516"/>
      <c r="Z88" s="520"/>
      <c r="AA88" s="520"/>
      <c r="AB88" s="513"/>
      <c r="AC88" s="513"/>
      <c r="AD88" s="15"/>
      <c r="AE88" s="15"/>
      <c r="AF88" s="15"/>
      <c r="AG88" s="15"/>
      <c r="AH88" s="1"/>
      <c r="AI88" s="1"/>
      <c r="AJ88" s="1"/>
      <c r="AK88" s="1"/>
    </row>
    <row r="89" spans="1:37">
      <c r="A89" s="841"/>
      <c r="B89" s="842"/>
      <c r="C89" s="842"/>
      <c r="D89" s="842"/>
      <c r="E89" s="842"/>
      <c r="F89" s="842"/>
      <c r="G89" s="842"/>
      <c r="H89" s="842"/>
      <c r="I89" s="842"/>
      <c r="J89" s="842"/>
      <c r="K89" s="842"/>
      <c r="L89" s="842"/>
      <c r="M89" s="842"/>
      <c r="N89" s="842"/>
      <c r="O89" s="842"/>
      <c r="P89" s="842"/>
      <c r="Q89" s="842"/>
      <c r="R89" s="842"/>
      <c r="S89" s="842"/>
      <c r="T89" s="842"/>
      <c r="U89" s="842"/>
      <c r="V89" s="842"/>
      <c r="W89" s="842"/>
      <c r="X89" s="842"/>
      <c r="Y89" s="842"/>
      <c r="Z89" s="842"/>
      <c r="AA89" s="842"/>
      <c r="AB89" s="842"/>
      <c r="AC89" s="842"/>
      <c r="AD89" s="15"/>
      <c r="AE89" s="15"/>
      <c r="AF89" s="15"/>
      <c r="AG89" s="15"/>
      <c r="AH89" s="1"/>
      <c r="AI89" s="1"/>
      <c r="AJ89" s="1"/>
      <c r="AK89" s="1"/>
    </row>
    <row r="90" spans="1:37" s="843" customFormat="1">
      <c r="A90" s="844" t="s">
        <v>28</v>
      </c>
      <c r="B90" s="481">
        <f t="shared" ref="B90:AC90" si="2">SUM(B4:B89)</f>
        <v>228580.21999999997</v>
      </c>
      <c r="C90" s="481">
        <f t="shared" si="2"/>
        <v>-153005.06000000003</v>
      </c>
      <c r="D90" s="481">
        <f t="shared" si="2"/>
        <v>9795.7900000000009</v>
      </c>
      <c r="E90" s="481">
        <f t="shared" si="2"/>
        <v>-3615.94</v>
      </c>
      <c r="F90" s="481">
        <f t="shared" si="2"/>
        <v>530</v>
      </c>
      <c r="G90" s="481">
        <f t="shared" si="2"/>
        <v>-452.51</v>
      </c>
      <c r="H90" s="481">
        <f t="shared" si="2"/>
        <v>585</v>
      </c>
      <c r="I90" s="481">
        <f t="shared" si="2"/>
        <v>-33.119999999999997</v>
      </c>
      <c r="J90" s="481">
        <f t="shared" si="2"/>
        <v>250</v>
      </c>
      <c r="K90" s="481">
        <f t="shared" si="2"/>
        <v>-147.06</v>
      </c>
      <c r="L90" s="481">
        <f t="shared" si="2"/>
        <v>50</v>
      </c>
      <c r="M90" s="481">
        <f t="shared" si="2"/>
        <v>-14.64</v>
      </c>
      <c r="N90" s="481">
        <f t="shared" si="2"/>
        <v>4191.5499999999993</v>
      </c>
      <c r="O90" s="481">
        <f t="shared" si="2"/>
        <v>-4191.55</v>
      </c>
      <c r="P90" s="481">
        <f t="shared" si="2"/>
        <v>0</v>
      </c>
      <c r="Q90" s="481">
        <f t="shared" si="2"/>
        <v>0</v>
      </c>
      <c r="R90" s="481">
        <f t="shared" si="2"/>
        <v>39638</v>
      </c>
      <c r="S90" s="481">
        <f t="shared" si="2"/>
        <v>-22431.219999999998</v>
      </c>
      <c r="T90" s="481">
        <f t="shared" si="2"/>
        <v>33106.550000000003</v>
      </c>
      <c r="U90" s="481">
        <f t="shared" si="2"/>
        <v>-21303.56</v>
      </c>
      <c r="V90" s="481">
        <f t="shared" si="2"/>
        <v>7016.79</v>
      </c>
      <c r="W90" s="481">
        <f t="shared" si="2"/>
        <v>-6119.0300000000007</v>
      </c>
      <c r="X90" s="481">
        <f t="shared" si="2"/>
        <v>11500</v>
      </c>
      <c r="Y90" s="481">
        <f t="shared" si="2"/>
        <v>-6260.5700000000006</v>
      </c>
      <c r="Z90" s="481">
        <f t="shared" si="2"/>
        <v>151221.21999999997</v>
      </c>
      <c r="AA90" s="481">
        <f t="shared" si="2"/>
        <v>-103867.41000000002</v>
      </c>
      <c r="AB90" s="481">
        <f t="shared" si="2"/>
        <v>1500</v>
      </c>
      <c r="AC90" s="481">
        <f t="shared" si="2"/>
        <v>-1478.09</v>
      </c>
    </row>
    <row r="91" spans="1:37">
      <c r="A91" s="351"/>
      <c r="B91" s="582"/>
      <c r="C91" s="351"/>
      <c r="D91" s="351"/>
      <c r="E91" s="351"/>
      <c r="F91" s="351"/>
      <c r="G91" s="351"/>
      <c r="H91" s="351"/>
      <c r="I91" s="351"/>
      <c r="J91" s="351"/>
      <c r="K91" s="351"/>
      <c r="L91" s="351"/>
      <c r="M91" s="351"/>
      <c r="N91" s="351"/>
      <c r="O91" s="351"/>
      <c r="P91" s="351"/>
      <c r="Q91" s="351"/>
      <c r="R91" s="351"/>
      <c r="S91" s="351"/>
      <c r="T91" s="471"/>
      <c r="U91" s="471"/>
      <c r="V91" s="351"/>
      <c r="W91" s="351"/>
      <c r="X91" s="351"/>
      <c r="Y91" s="351"/>
      <c r="Z91" s="351"/>
      <c r="AA91" s="351"/>
      <c r="AD91" s="351"/>
      <c r="AE91" s="351"/>
      <c r="AF91" s="351"/>
      <c r="AG91" s="351"/>
      <c r="AH91" s="471"/>
      <c r="AI91" s="471"/>
      <c r="AJ91" s="667"/>
      <c r="AK91" s="667"/>
    </row>
    <row r="92" spans="1:37">
      <c r="A92" s="351"/>
      <c r="B92" s="351"/>
      <c r="C92" s="351"/>
      <c r="D92" s="351"/>
      <c r="E92" s="351"/>
      <c r="F92" s="351"/>
      <c r="G92" s="351"/>
      <c r="H92" s="351"/>
      <c r="I92" s="351"/>
      <c r="J92" s="351"/>
      <c r="K92" s="351"/>
      <c r="L92" s="351"/>
      <c r="M92" s="351"/>
      <c r="N92" s="351"/>
      <c r="O92" s="351"/>
      <c r="P92" s="351"/>
      <c r="Q92" s="351"/>
      <c r="R92" s="351"/>
      <c r="S92" s="351"/>
      <c r="T92" s="471"/>
      <c r="U92" s="471"/>
      <c r="V92" s="351"/>
      <c r="W92" s="351"/>
      <c r="X92" s="351"/>
      <c r="Y92" s="351"/>
      <c r="Z92" s="351"/>
      <c r="AA92" s="559"/>
      <c r="AD92" s="351"/>
      <c r="AE92" s="351"/>
      <c r="AF92" s="351"/>
      <c r="AG92" s="351"/>
      <c r="AH92" s="471"/>
      <c r="AI92" s="471"/>
      <c r="AJ92" s="471"/>
      <c r="AK92" s="471"/>
    </row>
    <row r="93" spans="1:37">
      <c r="A93" s="351"/>
      <c r="B93" s="351" t="s">
        <v>373</v>
      </c>
      <c r="C93" s="351"/>
      <c r="D93" s="351"/>
      <c r="E93" s="351"/>
      <c r="F93" s="351"/>
      <c r="G93" s="351"/>
      <c r="H93" s="351"/>
      <c r="I93" s="351"/>
      <c r="J93" s="351"/>
      <c r="K93" s="351"/>
      <c r="L93" s="351"/>
      <c r="M93" s="351"/>
      <c r="N93" s="351"/>
      <c r="O93" s="351"/>
      <c r="P93" s="351"/>
      <c r="Q93" s="351"/>
      <c r="R93" s="351"/>
      <c r="S93" s="351"/>
      <c r="T93" s="471"/>
      <c r="U93" s="471"/>
      <c r="V93" s="351"/>
      <c r="W93" s="351"/>
      <c r="X93" s="351"/>
      <c r="Y93" s="351"/>
      <c r="Z93" s="351"/>
      <c r="AA93" s="559"/>
      <c r="AD93" s="351"/>
      <c r="AE93" s="351"/>
      <c r="AF93" s="351"/>
      <c r="AG93" s="351"/>
      <c r="AH93" s="471"/>
      <c r="AI93" s="471"/>
      <c r="AJ93" s="471"/>
      <c r="AK93" s="471"/>
    </row>
    <row r="94" spans="1:37" ht="18.75" customHeight="1">
      <c r="A94" s="351"/>
      <c r="B94" s="351"/>
      <c r="C94" s="351"/>
      <c r="D94" s="351"/>
      <c r="E94" s="351"/>
      <c r="F94" s="351"/>
      <c r="G94" s="351"/>
      <c r="H94" s="351"/>
      <c r="I94" s="351"/>
      <c r="J94" s="351"/>
      <c r="K94" s="351"/>
      <c r="L94" s="351"/>
      <c r="M94" s="351"/>
      <c r="N94" s="351"/>
      <c r="O94" s="351"/>
      <c r="P94" s="351"/>
      <c r="Q94" s="351"/>
      <c r="R94" s="351"/>
      <c r="S94" s="351"/>
      <c r="T94" s="471"/>
      <c r="U94" s="471"/>
      <c r="V94" s="351"/>
      <c r="W94" s="351"/>
      <c r="X94" s="351"/>
      <c r="Y94" s="351"/>
      <c r="Z94" s="351"/>
      <c r="AA94" s="351"/>
      <c r="AB94" s="351"/>
      <c r="AC94" s="351"/>
      <c r="AD94" s="351"/>
      <c r="AE94" s="351"/>
      <c r="AF94" s="351"/>
      <c r="AG94" s="351"/>
      <c r="AH94" s="471"/>
      <c r="AI94" s="471"/>
      <c r="AJ94" s="471"/>
      <c r="AK94" s="471"/>
    </row>
    <row r="95" spans="1:37">
      <c r="A95" s="351"/>
      <c r="B95" s="351"/>
      <c r="C95" s="351"/>
      <c r="D95" s="351"/>
      <c r="E95" s="351"/>
      <c r="F95" s="351"/>
      <c r="G95" s="351"/>
      <c r="H95" s="351"/>
      <c r="I95" s="351"/>
      <c r="J95" s="351"/>
      <c r="K95" s="351"/>
      <c r="L95" s="351"/>
      <c r="M95" s="351"/>
      <c r="N95" s="351"/>
      <c r="O95" s="351"/>
      <c r="P95" s="351"/>
      <c r="Q95" s="351"/>
      <c r="R95" s="351"/>
      <c r="S95" s="351"/>
      <c r="T95" s="471"/>
      <c r="U95" s="471"/>
      <c r="V95" s="351"/>
      <c r="W95" s="351"/>
      <c r="X95" s="351"/>
      <c r="Y95" s="351"/>
      <c r="Z95" s="351"/>
      <c r="AA95" s="351"/>
      <c r="AB95" s="351"/>
      <c r="AC95" s="351"/>
      <c r="AD95" s="351"/>
      <c r="AE95" s="351"/>
      <c r="AF95" s="351"/>
      <c r="AG95" s="351"/>
      <c r="AH95" s="471"/>
      <c r="AI95" s="471"/>
      <c r="AJ95" s="471"/>
      <c r="AK95" s="471"/>
    </row>
    <row r="96" spans="1:37" s="16" customFormat="1" ht="36.75" customHeight="1">
      <c r="A96" s="668"/>
      <c r="B96" s="891" t="s">
        <v>332</v>
      </c>
      <c r="C96" s="891"/>
      <c r="D96" s="891"/>
      <c r="E96" s="891"/>
      <c r="F96" s="891" t="s">
        <v>71</v>
      </c>
      <c r="G96" s="891"/>
      <c r="H96" s="883"/>
      <c r="I96" s="883"/>
      <c r="J96" s="883"/>
      <c r="K96" s="883"/>
      <c r="L96" s="883"/>
      <c r="M96" s="883"/>
      <c r="N96" s="883"/>
      <c r="O96" s="883"/>
      <c r="P96" s="891"/>
      <c r="Q96" s="891"/>
      <c r="R96" s="884" t="s">
        <v>207</v>
      </c>
      <c r="S96" s="885"/>
      <c r="T96" s="886" t="s">
        <v>206</v>
      </c>
      <c r="U96" s="887"/>
      <c r="V96" s="890" t="s">
        <v>357</v>
      </c>
      <c r="W96" s="890"/>
      <c r="X96" s="892" t="s">
        <v>205</v>
      </c>
      <c r="Y96" s="893"/>
      <c r="Z96" s="894" t="s">
        <v>204</v>
      </c>
      <c r="AA96" s="894"/>
      <c r="AB96" s="881" t="s">
        <v>178</v>
      </c>
      <c r="AC96" s="882"/>
      <c r="AD96" s="906"/>
      <c r="AE96" s="907"/>
      <c r="AF96" s="700"/>
      <c r="AG96" s="700"/>
    </row>
    <row r="97" spans="1:45" ht="12" customHeight="1">
      <c r="A97" s="903" t="s">
        <v>172</v>
      </c>
      <c r="B97" s="901" t="s">
        <v>259</v>
      </c>
      <c r="C97" s="901" t="s">
        <v>260</v>
      </c>
      <c r="D97" s="901" t="s">
        <v>93</v>
      </c>
      <c r="E97" s="901" t="s">
        <v>93</v>
      </c>
      <c r="F97" s="901" t="s">
        <v>24</v>
      </c>
      <c r="G97" s="901" t="s">
        <v>93</v>
      </c>
      <c r="H97" s="901" t="s">
        <v>24</v>
      </c>
      <c r="I97" s="901" t="s">
        <v>93</v>
      </c>
      <c r="J97" s="901" t="s">
        <v>24</v>
      </c>
      <c r="K97" s="901" t="s">
        <v>93</v>
      </c>
      <c r="L97" s="901" t="s">
        <v>24</v>
      </c>
      <c r="M97" s="901" t="s">
        <v>93</v>
      </c>
      <c r="N97" s="901" t="s">
        <v>259</v>
      </c>
      <c r="O97" s="901" t="s">
        <v>260</v>
      </c>
      <c r="P97" s="901" t="s">
        <v>259</v>
      </c>
      <c r="Q97" s="901" t="s">
        <v>260</v>
      </c>
      <c r="R97" s="902" t="s">
        <v>259</v>
      </c>
      <c r="S97" s="902" t="s">
        <v>260</v>
      </c>
      <c r="T97" s="897" t="s">
        <v>259</v>
      </c>
      <c r="U97" s="897" t="s">
        <v>260</v>
      </c>
      <c r="V97" s="888" t="s">
        <v>259</v>
      </c>
      <c r="W97" s="888" t="s">
        <v>260</v>
      </c>
      <c r="X97" s="899" t="s">
        <v>259</v>
      </c>
      <c r="Y97" s="899" t="s">
        <v>260</v>
      </c>
      <c r="Z97" s="900" t="s">
        <v>259</v>
      </c>
      <c r="AA97" s="900" t="s">
        <v>260</v>
      </c>
      <c r="AB97" s="895" t="s">
        <v>259</v>
      </c>
      <c r="AC97" s="912" t="s">
        <v>260</v>
      </c>
      <c r="AD97" s="908"/>
      <c r="AE97" s="908"/>
      <c r="AF97" s="471"/>
      <c r="AG97" s="471"/>
      <c r="AH97" s="1"/>
      <c r="AI97" s="1"/>
      <c r="AJ97" s="1"/>
      <c r="AK97" s="1"/>
    </row>
    <row r="98" spans="1:45" ht="12" customHeight="1">
      <c r="A98" s="904"/>
      <c r="B98" s="898"/>
      <c r="C98" s="898"/>
      <c r="D98" s="898"/>
      <c r="E98" s="898"/>
      <c r="F98" s="898"/>
      <c r="G98" s="898"/>
      <c r="H98" s="898"/>
      <c r="I98" s="898"/>
      <c r="J98" s="898"/>
      <c r="K98" s="898"/>
      <c r="L98" s="898"/>
      <c r="M98" s="898"/>
      <c r="N98" s="898"/>
      <c r="O98" s="898"/>
      <c r="P98" s="898"/>
      <c r="Q98" s="898"/>
      <c r="R98" s="898"/>
      <c r="S98" s="898"/>
      <c r="T98" s="898"/>
      <c r="U98" s="898"/>
      <c r="V98" s="889"/>
      <c r="W98" s="889"/>
      <c r="X98" s="898"/>
      <c r="Y98" s="898"/>
      <c r="Z98" s="898"/>
      <c r="AA98" s="898"/>
      <c r="AB98" s="896"/>
      <c r="AC98" s="913"/>
      <c r="AD98" s="909"/>
      <c r="AE98" s="909"/>
      <c r="AF98" s="471"/>
      <c r="AG98" s="471"/>
      <c r="AH98" s="1"/>
      <c r="AI98" s="1"/>
      <c r="AJ98" s="1"/>
      <c r="AK98" s="1"/>
    </row>
    <row r="99" spans="1:45" ht="12" customHeight="1">
      <c r="A99" s="499" t="s">
        <v>23</v>
      </c>
      <c r="B99" s="515"/>
      <c r="C99" s="515"/>
      <c r="D99" s="515"/>
      <c r="E99" s="515"/>
      <c r="F99" s="515"/>
      <c r="G99" s="515"/>
      <c r="H99" s="399"/>
      <c r="I99" s="399"/>
      <c r="J99" s="522"/>
      <c r="K99" s="522"/>
      <c r="L99" s="522"/>
      <c r="M99" s="522"/>
      <c r="N99" s="522"/>
      <c r="O99" s="522"/>
      <c r="P99" s="522"/>
      <c r="Q99" s="522"/>
      <c r="R99" s="518"/>
      <c r="S99" s="518"/>
      <c r="T99" s="519"/>
      <c r="U99" s="519"/>
      <c r="V99" s="669"/>
      <c r="W99" s="669"/>
      <c r="X99" s="516"/>
      <c r="Y99" s="516"/>
      <c r="Z99" s="520"/>
      <c r="AA99" s="520"/>
      <c r="AB99" s="513"/>
      <c r="AC99" s="845"/>
      <c r="AD99" s="850"/>
      <c r="AE99" s="850"/>
      <c r="AF99" s="15"/>
      <c r="AG99" s="15"/>
      <c r="AH99" s="1"/>
      <c r="AI99" s="1"/>
      <c r="AJ99" s="1"/>
      <c r="AK99" s="1"/>
    </row>
    <row r="100" spans="1:45" ht="12" customHeight="1">
      <c r="A100" s="499" t="s">
        <v>335</v>
      </c>
      <c r="B100" s="515"/>
      <c r="C100" s="515"/>
      <c r="D100" s="515"/>
      <c r="E100" s="515"/>
      <c r="F100" s="515"/>
      <c r="G100" s="515"/>
      <c r="H100" s="399"/>
      <c r="I100" s="399"/>
      <c r="J100" s="522"/>
      <c r="K100" s="522"/>
      <c r="L100" s="522"/>
      <c r="M100" s="522"/>
      <c r="N100" s="522"/>
      <c r="O100" s="522"/>
      <c r="P100" s="522"/>
      <c r="Q100" s="522"/>
      <c r="R100" s="518"/>
      <c r="S100" s="518"/>
      <c r="T100" s="519"/>
      <c r="U100" s="519"/>
      <c r="V100" s="669">
        <f>N100</f>
        <v>0</v>
      </c>
      <c r="W100" s="669"/>
      <c r="X100" s="516"/>
      <c r="Y100" s="516"/>
      <c r="Z100" s="520"/>
      <c r="AA100" s="520"/>
      <c r="AB100" s="513"/>
      <c r="AC100" s="845"/>
      <c r="AD100" s="850"/>
      <c r="AE100" s="850"/>
      <c r="AF100" s="15"/>
      <c r="AG100" s="15"/>
      <c r="AH100" s="1"/>
      <c r="AI100" s="1"/>
      <c r="AJ100" s="1"/>
      <c r="AK100" s="1"/>
    </row>
    <row r="101" spans="1:45" ht="12" customHeight="1">
      <c r="A101" s="499" t="s">
        <v>336</v>
      </c>
      <c r="B101" s="515"/>
      <c r="C101" s="515"/>
      <c r="D101" s="515"/>
      <c r="E101" s="515"/>
      <c r="F101" s="515"/>
      <c r="G101" s="515"/>
      <c r="H101" s="399"/>
      <c r="I101" s="399"/>
      <c r="J101" s="723"/>
      <c r="K101" s="835"/>
      <c r="L101" s="723"/>
      <c r="M101" s="835"/>
      <c r="N101" s="835"/>
      <c r="O101" s="835"/>
      <c r="P101" s="835"/>
      <c r="Q101" s="835"/>
      <c r="R101" s="518"/>
      <c r="S101" s="518"/>
      <c r="T101" s="519"/>
      <c r="U101" s="519"/>
      <c r="V101" s="669">
        <f>L101</f>
        <v>0</v>
      </c>
      <c r="W101" s="669">
        <f>K101+M101</f>
        <v>0</v>
      </c>
      <c r="X101" s="516"/>
      <c r="Y101" s="516"/>
      <c r="Z101" s="520"/>
      <c r="AA101" s="520"/>
      <c r="AB101" s="513"/>
      <c r="AC101" s="845"/>
      <c r="AD101" s="850"/>
      <c r="AE101" s="850"/>
      <c r="AF101" s="15"/>
      <c r="AG101" s="15"/>
      <c r="AH101" s="1"/>
      <c r="AI101" s="1"/>
      <c r="AJ101" s="1"/>
      <c r="AK101" s="1"/>
    </row>
    <row r="102" spans="1:45">
      <c r="A102" s="500" t="s">
        <v>29</v>
      </c>
      <c r="B102" s="522"/>
      <c r="C102" s="522"/>
      <c r="D102" s="522"/>
      <c r="E102" s="522"/>
      <c r="F102" s="522"/>
      <c r="G102" s="522"/>
      <c r="H102" s="521"/>
      <c r="I102" s="521"/>
      <c r="J102" s="835"/>
      <c r="K102" s="835"/>
      <c r="L102" s="835"/>
      <c r="M102" s="835"/>
      <c r="N102" s="835"/>
      <c r="O102" s="835"/>
      <c r="P102" s="835"/>
      <c r="Q102" s="835"/>
      <c r="R102" s="518"/>
      <c r="S102" s="518"/>
      <c r="T102" s="519"/>
      <c r="U102" s="519"/>
      <c r="V102" s="669"/>
      <c r="W102" s="669"/>
      <c r="X102" s="516"/>
      <c r="Y102" s="516"/>
      <c r="Z102" s="520"/>
      <c r="AA102" s="520"/>
      <c r="AB102" s="513"/>
      <c r="AC102" s="845"/>
      <c r="AD102" s="850"/>
      <c r="AE102" s="850"/>
      <c r="AH102" s="321"/>
      <c r="AI102" s="321"/>
      <c r="AJ102" s="321"/>
      <c r="AK102" s="321"/>
      <c r="AL102" s="321"/>
      <c r="AM102" s="321"/>
      <c r="AN102" s="321"/>
      <c r="AO102" s="321"/>
      <c r="AP102" s="15"/>
      <c r="AQ102" s="15"/>
      <c r="AR102" s="15"/>
      <c r="AS102" s="15"/>
    </row>
    <row r="103" spans="1:45" ht="12" customHeight="1">
      <c r="A103" s="577" t="s">
        <v>146</v>
      </c>
      <c r="B103" s="578"/>
      <c r="C103" s="578"/>
      <c r="D103" s="578"/>
      <c r="E103" s="578"/>
      <c r="F103" s="578"/>
      <c r="G103" s="578"/>
      <c r="H103" s="578"/>
      <c r="I103" s="578"/>
      <c r="J103" s="578"/>
      <c r="K103" s="578"/>
      <c r="L103" s="578"/>
      <c r="M103" s="578"/>
      <c r="N103" s="578"/>
      <c r="O103" s="578"/>
      <c r="P103" s="578"/>
      <c r="Q103" s="578"/>
      <c r="R103" s="578"/>
      <c r="S103" s="578"/>
      <c r="T103" s="578"/>
      <c r="U103" s="578"/>
      <c r="V103" s="578"/>
      <c r="W103" s="578"/>
      <c r="X103" s="578"/>
      <c r="Y103" s="578"/>
      <c r="Z103" s="578"/>
      <c r="AA103" s="578"/>
      <c r="AB103" s="578"/>
      <c r="AC103" s="846"/>
      <c r="AD103" s="829"/>
      <c r="AE103" s="829"/>
      <c r="AH103" s="321"/>
      <c r="AI103" s="321"/>
      <c r="AJ103" s="321"/>
      <c r="AK103" s="321"/>
      <c r="AL103" s="321"/>
      <c r="AM103" s="321"/>
      <c r="AN103" s="321"/>
      <c r="AO103" s="321"/>
      <c r="AP103" s="15"/>
      <c r="AQ103" s="15"/>
      <c r="AR103" s="15"/>
      <c r="AS103" s="15"/>
    </row>
    <row r="104" spans="1:45">
      <c r="A104" s="477" t="s">
        <v>154</v>
      </c>
      <c r="B104" s="522"/>
      <c r="C104" s="522"/>
      <c r="D104" s="522"/>
      <c r="E104" s="522"/>
      <c r="F104" s="724"/>
      <c r="G104" s="522"/>
      <c r="H104" s="526"/>
      <c r="I104" s="526"/>
      <c r="J104" s="723"/>
      <c r="K104" s="835"/>
      <c r="L104" s="728"/>
      <c r="M104" s="835"/>
      <c r="N104" s="835"/>
      <c r="O104" s="835"/>
      <c r="P104" s="835"/>
      <c r="Q104" s="835"/>
      <c r="R104" s="518"/>
      <c r="S104" s="518"/>
      <c r="T104" s="519">
        <f>L104</f>
        <v>0</v>
      </c>
      <c r="U104" s="519"/>
      <c r="V104" s="669">
        <f>J104</f>
        <v>0</v>
      </c>
      <c r="W104" s="669">
        <f>K104</f>
        <v>0</v>
      </c>
      <c r="X104" s="516">
        <f>F104</f>
        <v>0</v>
      </c>
      <c r="Y104" s="516">
        <f>G104+U104</f>
        <v>0</v>
      </c>
      <c r="Z104" s="520"/>
      <c r="AA104" s="520"/>
      <c r="AB104" s="513"/>
      <c r="AC104" s="845"/>
      <c r="AD104" s="850"/>
      <c r="AE104" s="850"/>
      <c r="AH104" s="321"/>
      <c r="AI104" s="321"/>
      <c r="AJ104" s="321"/>
      <c r="AK104" s="321"/>
      <c r="AL104" s="321"/>
      <c r="AM104" s="321"/>
      <c r="AN104" s="321"/>
      <c r="AO104" s="321"/>
      <c r="AP104" s="15"/>
      <c r="AQ104" s="15"/>
      <c r="AR104" s="15"/>
      <c r="AS104" s="15"/>
    </row>
    <row r="105" spans="1:45" ht="12" customHeight="1">
      <c r="A105" s="477" t="s">
        <v>140</v>
      </c>
      <c r="B105" s="522"/>
      <c r="C105" s="522"/>
      <c r="D105" s="522"/>
      <c r="E105" s="522"/>
      <c r="F105" s="724"/>
      <c r="G105" s="522"/>
      <c r="H105" s="526"/>
      <c r="I105" s="526"/>
      <c r="J105" s="723"/>
      <c r="K105" s="835"/>
      <c r="L105" s="728"/>
      <c r="M105" s="835"/>
      <c r="N105" s="835"/>
      <c r="O105" s="835"/>
      <c r="P105" s="835"/>
      <c r="Q105" s="835"/>
      <c r="R105" s="518"/>
      <c r="S105" s="518"/>
      <c r="T105" s="519"/>
      <c r="U105" s="519"/>
      <c r="V105" s="669">
        <f>J105</f>
        <v>0</v>
      </c>
      <c r="W105" s="669">
        <f>K105</f>
        <v>0</v>
      </c>
      <c r="X105" s="516">
        <f>F105</f>
        <v>0</v>
      </c>
      <c r="Y105" s="516">
        <f>G105</f>
        <v>0</v>
      </c>
      <c r="Z105" s="520"/>
      <c r="AA105" s="520"/>
      <c r="AB105" s="513"/>
      <c r="AC105" s="845"/>
      <c r="AD105" s="850"/>
      <c r="AE105" s="850"/>
      <c r="AH105" s="321"/>
      <c r="AI105" s="321"/>
      <c r="AJ105" s="321"/>
      <c r="AK105" s="321"/>
      <c r="AL105" s="321"/>
      <c r="AM105" s="321"/>
      <c r="AN105" s="321"/>
      <c r="AO105" s="321"/>
      <c r="AP105" s="15"/>
      <c r="AQ105" s="15"/>
      <c r="AR105" s="15"/>
      <c r="AS105" s="15"/>
    </row>
    <row r="106" spans="1:45">
      <c r="A106" s="477" t="s">
        <v>139</v>
      </c>
      <c r="B106" s="522"/>
      <c r="C106" s="522"/>
      <c r="D106" s="522"/>
      <c r="E106" s="522"/>
      <c r="F106" s="724"/>
      <c r="G106" s="527"/>
      <c r="H106" s="527"/>
      <c r="I106" s="527"/>
      <c r="J106" s="723"/>
      <c r="K106" s="835"/>
      <c r="L106" s="728"/>
      <c r="M106" s="835"/>
      <c r="N106" s="835"/>
      <c r="O106" s="835"/>
      <c r="P106" s="835"/>
      <c r="Q106" s="835"/>
      <c r="R106" s="518"/>
      <c r="S106" s="518"/>
      <c r="T106" s="519"/>
      <c r="U106" s="519"/>
      <c r="V106" s="669">
        <f>J106</f>
        <v>0</v>
      </c>
      <c r="W106" s="669"/>
      <c r="X106" s="516">
        <f>F106</f>
        <v>0</v>
      </c>
      <c r="Y106" s="516">
        <f>G106</f>
        <v>0</v>
      </c>
      <c r="Z106" s="520"/>
      <c r="AA106" s="520"/>
      <c r="AB106" s="513"/>
      <c r="AC106" s="845"/>
      <c r="AD106" s="850"/>
      <c r="AE106" s="850"/>
      <c r="AH106" s="321"/>
      <c r="AI106" s="321"/>
      <c r="AJ106" s="321"/>
      <c r="AK106" s="321"/>
      <c r="AL106" s="321"/>
      <c r="AM106" s="321"/>
      <c r="AN106" s="321"/>
      <c r="AO106" s="321"/>
      <c r="AP106" s="15"/>
      <c r="AQ106" s="15"/>
      <c r="AR106" s="15"/>
      <c r="AS106" s="15"/>
    </row>
    <row r="107" spans="1:45" ht="12" customHeight="1">
      <c r="A107" s="477" t="s">
        <v>138</v>
      </c>
      <c r="B107" s="528"/>
      <c r="C107" s="528"/>
      <c r="D107" s="528"/>
      <c r="E107" s="528"/>
      <c r="F107" s="724"/>
      <c r="G107" s="521"/>
      <c r="H107" s="521"/>
      <c r="I107" s="521"/>
      <c r="J107" s="723"/>
      <c r="K107" s="835"/>
      <c r="L107" s="835"/>
      <c r="M107" s="835"/>
      <c r="N107" s="835"/>
      <c r="O107" s="835"/>
      <c r="P107" s="835"/>
      <c r="Q107" s="835"/>
      <c r="R107" s="518"/>
      <c r="S107" s="518"/>
      <c r="T107" s="519"/>
      <c r="U107" s="519"/>
      <c r="V107" s="669">
        <f>J107</f>
        <v>0</v>
      </c>
      <c r="W107" s="669">
        <f>K107</f>
        <v>0</v>
      </c>
      <c r="X107" s="516">
        <f>F107</f>
        <v>0</v>
      </c>
      <c r="Y107" s="516">
        <f>G106</f>
        <v>0</v>
      </c>
      <c r="Z107" s="520"/>
      <c r="AA107" s="520"/>
      <c r="AB107" s="513"/>
      <c r="AC107" s="845"/>
      <c r="AD107" s="850"/>
      <c r="AE107" s="850"/>
      <c r="AH107" s="321"/>
      <c r="AI107" s="321"/>
      <c r="AJ107" s="321"/>
      <c r="AK107" s="321"/>
      <c r="AL107" s="321"/>
      <c r="AM107" s="321"/>
      <c r="AN107" s="321"/>
      <c r="AO107" s="321"/>
      <c r="AP107" s="15"/>
      <c r="AQ107" s="15"/>
      <c r="AR107" s="15"/>
      <c r="AS107" s="15"/>
    </row>
    <row r="108" spans="1:45">
      <c r="A108" s="477" t="s">
        <v>141</v>
      </c>
      <c r="B108" s="528"/>
      <c r="C108" s="528"/>
      <c r="D108" s="528"/>
      <c r="E108" s="528"/>
      <c r="F108" s="724"/>
      <c r="G108" s="521"/>
      <c r="H108" s="521"/>
      <c r="I108" s="521"/>
      <c r="J108" s="723"/>
      <c r="K108" s="835"/>
      <c r="L108" s="723"/>
      <c r="M108" s="835"/>
      <c r="N108" s="835"/>
      <c r="O108" s="835"/>
      <c r="P108" s="835"/>
      <c r="Q108" s="835"/>
      <c r="R108" s="518"/>
      <c r="S108" s="518"/>
      <c r="T108" s="519"/>
      <c r="U108" s="519"/>
      <c r="V108" s="669">
        <f>J108</f>
        <v>0</v>
      </c>
      <c r="W108" s="669"/>
      <c r="X108" s="516">
        <f>F108+T108</f>
        <v>0</v>
      </c>
      <c r="Y108" s="516">
        <f>G108+U108</f>
        <v>0</v>
      </c>
      <c r="Z108" s="520"/>
      <c r="AA108" s="520"/>
      <c r="AB108" s="513"/>
      <c r="AC108" s="845"/>
      <c r="AD108" s="850"/>
      <c r="AE108" s="850"/>
      <c r="AH108" s="321"/>
      <c r="AI108" s="321"/>
      <c r="AJ108" s="321"/>
      <c r="AK108" s="321"/>
      <c r="AL108" s="321"/>
      <c r="AM108" s="321"/>
      <c r="AN108" s="321"/>
      <c r="AO108" s="321"/>
      <c r="AP108" s="15"/>
      <c r="AQ108" s="15"/>
      <c r="AR108" s="15"/>
      <c r="AS108" s="15"/>
    </row>
    <row r="109" spans="1:45" ht="12" customHeight="1">
      <c r="A109" s="477" t="s">
        <v>9</v>
      </c>
      <c r="B109" s="519">
        <v>3600</v>
      </c>
      <c r="C109" s="505">
        <f>-1234.11-496.38-1289.16+496.38-38.42</f>
        <v>-2561.6899999999996</v>
      </c>
      <c r="D109" s="505"/>
      <c r="E109" s="505"/>
      <c r="F109" s="725"/>
      <c r="G109" s="521"/>
      <c r="H109" s="527"/>
      <c r="I109" s="527"/>
      <c r="J109" s="723"/>
      <c r="K109" s="835"/>
      <c r="L109" s="728"/>
      <c r="M109" s="835"/>
      <c r="N109" s="835"/>
      <c r="O109" s="835"/>
      <c r="P109" s="835"/>
      <c r="Q109" s="835"/>
      <c r="R109" s="518"/>
      <c r="S109" s="518"/>
      <c r="T109" s="519">
        <f>B109+L109</f>
        <v>3600</v>
      </c>
      <c r="U109" s="519">
        <f>C109+M109</f>
        <v>-2561.6899999999996</v>
      </c>
      <c r="V109" s="669"/>
      <c r="W109" s="669"/>
      <c r="X109" s="516"/>
      <c r="Y109" s="516"/>
      <c r="Z109" s="520"/>
      <c r="AA109" s="520"/>
      <c r="AB109" s="513"/>
      <c r="AC109" s="845"/>
      <c r="AD109" s="850"/>
      <c r="AE109" s="850"/>
      <c r="AH109" s="321"/>
      <c r="AI109" s="321"/>
      <c r="AJ109" s="321"/>
      <c r="AK109" s="321"/>
      <c r="AL109" s="321"/>
      <c r="AM109" s="321"/>
      <c r="AN109" s="321"/>
      <c r="AO109" s="321"/>
      <c r="AP109" s="15"/>
      <c r="AQ109" s="15"/>
      <c r="AR109" s="15"/>
      <c r="AS109" s="15"/>
    </row>
    <row r="110" spans="1:45" ht="12" customHeight="1">
      <c r="A110" s="477" t="s">
        <v>9</v>
      </c>
      <c r="B110" s="519"/>
      <c r="C110" s="505"/>
      <c r="D110" s="505"/>
      <c r="E110" s="505"/>
      <c r="F110" s="725"/>
      <c r="G110" s="521"/>
      <c r="H110" s="527"/>
      <c r="I110" s="527"/>
      <c r="J110" s="723"/>
      <c r="K110" s="835"/>
      <c r="L110" s="802"/>
      <c r="M110" s="835"/>
      <c r="N110" s="835"/>
      <c r="O110" s="835"/>
      <c r="P110" s="784"/>
      <c r="Q110" s="835"/>
      <c r="R110" s="518"/>
      <c r="S110" s="518"/>
      <c r="T110" s="519"/>
      <c r="U110" s="519"/>
      <c r="V110" s="669">
        <f>J110</f>
        <v>0</v>
      </c>
      <c r="W110" s="669">
        <f>K110</f>
        <v>0</v>
      </c>
      <c r="X110" s="516">
        <f>L110</f>
        <v>0</v>
      </c>
      <c r="Y110" s="516">
        <f>M110</f>
        <v>0</v>
      </c>
      <c r="Z110" s="520"/>
      <c r="AA110" s="520"/>
      <c r="AB110" s="513"/>
      <c r="AC110" s="845"/>
      <c r="AD110" s="850"/>
      <c r="AE110" s="850"/>
      <c r="AH110" s="321"/>
      <c r="AI110" s="321"/>
      <c r="AJ110" s="321"/>
      <c r="AK110" s="321"/>
      <c r="AL110" s="321"/>
      <c r="AM110" s="321"/>
      <c r="AN110" s="321"/>
      <c r="AO110" s="321"/>
      <c r="AP110" s="15"/>
      <c r="AQ110" s="15"/>
      <c r="AR110" s="15"/>
      <c r="AS110" s="15"/>
    </row>
    <row r="111" spans="1:45" ht="12" customHeight="1">
      <c r="A111" s="477" t="s">
        <v>215</v>
      </c>
      <c r="B111" s="519"/>
      <c r="C111" s="505"/>
      <c r="D111" s="505"/>
      <c r="E111" s="505"/>
      <c r="F111" s="725"/>
      <c r="G111" s="521"/>
      <c r="H111" s="527"/>
      <c r="I111" s="527"/>
      <c r="J111" s="723"/>
      <c r="K111" s="835"/>
      <c r="L111" s="802"/>
      <c r="M111" s="835"/>
      <c r="N111" s="835"/>
      <c r="O111" s="835"/>
      <c r="P111" s="835"/>
      <c r="Q111" s="835"/>
      <c r="R111" s="518"/>
      <c r="S111" s="518"/>
      <c r="T111" s="519"/>
      <c r="U111" s="519"/>
      <c r="V111" s="669"/>
      <c r="W111" s="669"/>
      <c r="X111" s="516">
        <f>L111</f>
        <v>0</v>
      </c>
      <c r="Y111" s="516">
        <f>M111</f>
        <v>0</v>
      </c>
      <c r="Z111" s="520"/>
      <c r="AA111" s="520"/>
      <c r="AB111" s="513"/>
      <c r="AC111" s="845"/>
      <c r="AD111" s="850"/>
      <c r="AE111" s="850"/>
      <c r="AH111" s="321"/>
      <c r="AI111" s="321"/>
      <c r="AJ111" s="321"/>
      <c r="AK111" s="321"/>
      <c r="AL111" s="321"/>
      <c r="AM111" s="321"/>
      <c r="AN111" s="321"/>
      <c r="AO111" s="321"/>
      <c r="AP111" s="15"/>
      <c r="AQ111" s="15"/>
      <c r="AR111" s="15"/>
      <c r="AS111" s="15"/>
    </row>
    <row r="112" spans="1:45">
      <c r="A112" s="477" t="s">
        <v>215</v>
      </c>
      <c r="B112" s="505"/>
      <c r="C112" s="505"/>
      <c r="D112" s="505"/>
      <c r="E112" s="505"/>
      <c r="F112" s="724"/>
      <c r="G112" s="521"/>
      <c r="H112" s="521"/>
      <c r="I112" s="521"/>
      <c r="J112" s="723"/>
      <c r="K112" s="835"/>
      <c r="L112" s="728"/>
      <c r="M112" s="835"/>
      <c r="N112" s="835"/>
      <c r="O112" s="835"/>
      <c r="P112" s="784"/>
      <c r="Q112" s="835"/>
      <c r="R112" s="518"/>
      <c r="S112" s="518"/>
      <c r="T112" s="519">
        <f>L112</f>
        <v>0</v>
      </c>
      <c r="U112" s="519">
        <f>M112</f>
        <v>0</v>
      </c>
      <c r="V112" s="669">
        <f>J112</f>
        <v>0</v>
      </c>
      <c r="W112" s="669">
        <f>K112</f>
        <v>0</v>
      </c>
      <c r="X112" s="516">
        <f>F112</f>
        <v>0</v>
      </c>
      <c r="Y112" s="516">
        <f>G112</f>
        <v>0</v>
      </c>
      <c r="Z112" s="520"/>
      <c r="AA112" s="520"/>
      <c r="AB112" s="513"/>
      <c r="AC112" s="845"/>
      <c r="AD112" s="850"/>
      <c r="AE112" s="850"/>
      <c r="AH112" s="321"/>
      <c r="AI112" s="321"/>
      <c r="AJ112" s="321"/>
      <c r="AK112" s="321"/>
      <c r="AL112" s="321"/>
      <c r="AM112" s="321"/>
      <c r="AN112" s="321"/>
      <c r="AO112" s="321"/>
      <c r="AP112" s="15"/>
      <c r="AQ112" s="15"/>
      <c r="AR112" s="15"/>
      <c r="AS112" s="15"/>
    </row>
    <row r="113" spans="1:45">
      <c r="A113" s="577" t="s">
        <v>147</v>
      </c>
      <c r="B113" s="578"/>
      <c r="C113" s="578"/>
      <c r="D113" s="578"/>
      <c r="E113" s="578"/>
      <c r="F113" s="578"/>
      <c r="G113" s="578"/>
      <c r="H113" s="578"/>
      <c r="I113" s="578"/>
      <c r="J113" s="578"/>
      <c r="K113" s="578"/>
      <c r="L113" s="578"/>
      <c r="M113" s="578"/>
      <c r="N113" s="578"/>
      <c r="O113" s="578"/>
      <c r="P113" s="578"/>
      <c r="Q113" s="578"/>
      <c r="R113" s="578"/>
      <c r="S113" s="578"/>
      <c r="T113" s="578"/>
      <c r="U113" s="578"/>
      <c r="V113" s="578"/>
      <c r="W113" s="578"/>
      <c r="X113" s="578"/>
      <c r="Y113" s="578"/>
      <c r="Z113" s="578"/>
      <c r="AA113" s="578"/>
      <c r="AB113" s="578"/>
      <c r="AC113" s="846"/>
      <c r="AD113" s="829"/>
      <c r="AE113" s="829"/>
      <c r="AH113" s="321"/>
      <c r="AI113" s="321"/>
      <c r="AJ113" s="321"/>
      <c r="AK113" s="321"/>
      <c r="AL113" s="321"/>
      <c r="AM113" s="321"/>
      <c r="AN113" s="321"/>
      <c r="AO113" s="321"/>
      <c r="AP113" s="15"/>
      <c r="AQ113" s="15"/>
      <c r="AR113" s="15"/>
      <c r="AS113" s="15"/>
    </row>
    <row r="114" spans="1:45">
      <c r="A114" s="477" t="s">
        <v>142</v>
      </c>
      <c r="B114" s="521"/>
      <c r="C114" s="521"/>
      <c r="D114" s="521"/>
      <c r="E114" s="521"/>
      <c r="F114" s="481"/>
      <c r="G114" s="521"/>
      <c r="H114" s="528"/>
      <c r="I114" s="528"/>
      <c r="J114" s="835"/>
      <c r="K114" s="835"/>
      <c r="L114" s="835"/>
      <c r="M114" s="835"/>
      <c r="N114" s="835"/>
      <c r="O114" s="835"/>
      <c r="P114" s="835"/>
      <c r="Q114" s="835"/>
      <c r="R114" s="518"/>
      <c r="S114" s="518"/>
      <c r="T114" s="519"/>
      <c r="U114" s="519"/>
      <c r="V114" s="669"/>
      <c r="W114" s="669"/>
      <c r="X114" s="516"/>
      <c r="Y114" s="516"/>
      <c r="Z114" s="520"/>
      <c r="AA114" s="520"/>
      <c r="AB114" s="513"/>
      <c r="AC114" s="845"/>
      <c r="AD114" s="850"/>
      <c r="AE114" s="850"/>
      <c r="AH114" s="321"/>
      <c r="AI114" s="321"/>
      <c r="AJ114" s="321"/>
      <c r="AK114" s="321"/>
      <c r="AL114" s="321"/>
      <c r="AM114" s="321"/>
      <c r="AN114" s="321"/>
      <c r="AO114" s="321"/>
      <c r="AP114" s="15"/>
      <c r="AQ114" s="15"/>
      <c r="AR114" s="15"/>
      <c r="AS114" s="15"/>
    </row>
    <row r="115" spans="1:45">
      <c r="A115" s="477" t="s">
        <v>143</v>
      </c>
      <c r="B115" s="521"/>
      <c r="C115" s="521"/>
      <c r="D115" s="521"/>
      <c r="E115" s="521"/>
      <c r="F115" s="530"/>
      <c r="G115" s="530"/>
      <c r="H115" s="521"/>
      <c r="I115" s="521"/>
      <c r="J115" s="835"/>
      <c r="K115" s="835"/>
      <c r="L115" s="835"/>
      <c r="M115" s="835"/>
      <c r="N115" s="835"/>
      <c r="O115" s="835"/>
      <c r="P115" s="835"/>
      <c r="Q115" s="835"/>
      <c r="R115" s="518"/>
      <c r="S115" s="518"/>
      <c r="T115" s="519"/>
      <c r="U115" s="519"/>
      <c r="V115" s="669"/>
      <c r="W115" s="669"/>
      <c r="X115" s="516"/>
      <c r="Y115" s="516"/>
      <c r="Z115" s="520"/>
      <c r="AA115" s="520"/>
      <c r="AB115" s="513"/>
      <c r="AC115" s="845"/>
      <c r="AD115" s="850"/>
      <c r="AE115" s="850"/>
      <c r="AH115" s="321"/>
      <c r="AI115" s="321"/>
      <c r="AJ115" s="321"/>
      <c r="AK115" s="321"/>
      <c r="AL115" s="321"/>
      <c r="AM115" s="321"/>
      <c r="AN115" s="321"/>
      <c r="AO115" s="321"/>
      <c r="AP115" s="15"/>
      <c r="AQ115" s="15"/>
      <c r="AR115" s="15"/>
      <c r="AS115" s="15"/>
    </row>
    <row r="116" spans="1:45">
      <c r="A116" s="477" t="s">
        <v>144</v>
      </c>
      <c r="B116" s="464"/>
      <c r="C116" s="464"/>
      <c r="D116" s="464"/>
      <c r="E116" s="464"/>
      <c r="F116" s="464"/>
      <c r="G116" s="464"/>
      <c r="H116" s="464"/>
      <c r="I116" s="464"/>
      <c r="J116" s="835"/>
      <c r="K116" s="835"/>
      <c r="L116" s="728"/>
      <c r="M116" s="836"/>
      <c r="N116" s="836"/>
      <c r="O116" s="836"/>
      <c r="P116" s="836"/>
      <c r="Q116" s="836"/>
      <c r="R116" s="518"/>
      <c r="S116" s="518"/>
      <c r="T116" s="519">
        <f>L116</f>
        <v>0</v>
      </c>
      <c r="U116" s="519">
        <f>M116</f>
        <v>0</v>
      </c>
      <c r="V116" s="669"/>
      <c r="W116" s="669"/>
      <c r="X116" s="516"/>
      <c r="Y116" s="516"/>
      <c r="Z116" s="520"/>
      <c r="AA116" s="520"/>
      <c r="AB116" s="513"/>
      <c r="AC116" s="845"/>
      <c r="AD116" s="850"/>
      <c r="AE116" s="850"/>
      <c r="AH116" s="321"/>
      <c r="AI116" s="321"/>
      <c r="AJ116" s="321"/>
      <c r="AK116" s="321"/>
      <c r="AL116" s="321"/>
      <c r="AM116" s="321"/>
      <c r="AN116" s="321"/>
      <c r="AO116" s="321"/>
      <c r="AP116" s="15"/>
      <c r="AQ116" s="15"/>
      <c r="AR116" s="15"/>
      <c r="AS116" s="15"/>
    </row>
    <row r="117" spans="1:45">
      <c r="A117" s="477" t="s">
        <v>145</v>
      </c>
      <c r="B117" s="521"/>
      <c r="C117" s="521"/>
      <c r="D117" s="521"/>
      <c r="E117" s="521"/>
      <c r="F117" s="530"/>
      <c r="G117" s="530"/>
      <c r="H117" s="521"/>
      <c r="I117" s="521"/>
      <c r="J117" s="835"/>
      <c r="K117" s="835"/>
      <c r="L117" s="835"/>
      <c r="M117" s="835"/>
      <c r="N117" s="835"/>
      <c r="O117" s="835"/>
      <c r="P117" s="835"/>
      <c r="Q117" s="835"/>
      <c r="R117" s="518"/>
      <c r="S117" s="518"/>
      <c r="T117" s="519"/>
      <c r="U117" s="519"/>
      <c r="V117" s="669"/>
      <c r="W117" s="669"/>
      <c r="X117" s="516"/>
      <c r="Y117" s="516"/>
      <c r="Z117" s="520"/>
      <c r="AA117" s="520"/>
      <c r="AB117" s="513"/>
      <c r="AC117" s="845"/>
      <c r="AD117" s="850"/>
      <c r="AE117" s="850"/>
      <c r="AH117" s="321"/>
      <c r="AI117" s="321"/>
      <c r="AJ117" s="321"/>
      <c r="AK117" s="321"/>
      <c r="AL117" s="321"/>
      <c r="AM117" s="321"/>
      <c r="AN117" s="321"/>
      <c r="AO117" s="321"/>
      <c r="AP117" s="15"/>
      <c r="AQ117" s="15"/>
      <c r="AR117" s="15"/>
      <c r="AS117" s="15"/>
    </row>
    <row r="118" spans="1:45">
      <c r="A118" s="577" t="s">
        <v>148</v>
      </c>
      <c r="B118" s="578"/>
      <c r="C118" s="578"/>
      <c r="D118" s="578"/>
      <c r="E118" s="578"/>
      <c r="F118" s="578"/>
      <c r="G118" s="578"/>
      <c r="H118" s="578"/>
      <c r="I118" s="578"/>
      <c r="J118" s="578"/>
      <c r="K118" s="578"/>
      <c r="L118" s="578"/>
      <c r="M118" s="578"/>
      <c r="N118" s="578"/>
      <c r="O118" s="578"/>
      <c r="P118" s="578"/>
      <c r="Q118" s="578"/>
      <c r="R118" s="578"/>
      <c r="S118" s="578"/>
      <c r="T118" s="578"/>
      <c r="U118" s="578"/>
      <c r="V118" s="578"/>
      <c r="W118" s="578"/>
      <c r="X118" s="578"/>
      <c r="Y118" s="578"/>
      <c r="Z118" s="578"/>
      <c r="AA118" s="578"/>
      <c r="AB118" s="578"/>
      <c r="AC118" s="846"/>
      <c r="AD118" s="829"/>
      <c r="AE118" s="829"/>
      <c r="AH118" s="321"/>
      <c r="AI118" s="321"/>
      <c r="AJ118" s="321"/>
      <c r="AK118" s="321"/>
      <c r="AL118" s="321"/>
      <c r="AM118" s="321"/>
      <c r="AN118" s="321"/>
      <c r="AO118" s="321"/>
      <c r="AP118" s="15"/>
      <c r="AQ118" s="15"/>
      <c r="AR118" s="15"/>
      <c r="AS118" s="15"/>
    </row>
    <row r="119" spans="1:45">
      <c r="A119" s="477" t="s">
        <v>149</v>
      </c>
      <c r="B119" s="521"/>
      <c r="C119" s="521"/>
      <c r="D119" s="521"/>
      <c r="E119" s="521"/>
      <c r="F119" s="595"/>
      <c r="G119" s="595"/>
      <c r="H119" s="595"/>
      <c r="I119" s="595"/>
      <c r="J119" s="725"/>
      <c r="K119" s="725"/>
      <c r="L119" s="725"/>
      <c r="M119" s="725"/>
      <c r="N119" s="725"/>
      <c r="O119" s="725"/>
      <c r="P119" s="725"/>
      <c r="Q119" s="725"/>
      <c r="R119" s="518"/>
      <c r="S119" s="518"/>
      <c r="T119" s="519"/>
      <c r="U119" s="519"/>
      <c r="V119" s="669"/>
      <c r="W119" s="669"/>
      <c r="X119" s="516"/>
      <c r="Y119" s="516"/>
      <c r="Z119" s="520"/>
      <c r="AA119" s="520"/>
      <c r="AB119" s="513"/>
      <c r="AC119" s="845"/>
      <c r="AD119" s="850"/>
      <c r="AE119" s="850"/>
      <c r="AH119" s="321"/>
      <c r="AI119" s="321"/>
      <c r="AJ119" s="321"/>
      <c r="AK119" s="321"/>
      <c r="AL119" s="321"/>
      <c r="AM119" s="321"/>
      <c r="AN119" s="321"/>
      <c r="AO119" s="321"/>
      <c r="AP119" s="15"/>
      <c r="AQ119" s="15"/>
      <c r="AR119" s="15"/>
      <c r="AS119" s="15"/>
    </row>
    <row r="120" spans="1:45">
      <c r="A120" s="477" t="s">
        <v>149</v>
      </c>
      <c r="B120" s="521"/>
      <c r="C120" s="521"/>
      <c r="D120" s="521"/>
      <c r="E120" s="521"/>
      <c r="F120" s="530"/>
      <c r="G120" s="530"/>
      <c r="H120" s="530"/>
      <c r="I120" s="508"/>
      <c r="J120" s="725"/>
      <c r="K120" s="725"/>
      <c r="L120" s="725"/>
      <c r="M120" s="725"/>
      <c r="N120" s="725"/>
      <c r="O120" s="725"/>
      <c r="P120" s="725"/>
      <c r="Q120" s="725"/>
      <c r="R120" s="518"/>
      <c r="S120" s="518"/>
      <c r="T120" s="519"/>
      <c r="U120" s="519"/>
      <c r="V120" s="669"/>
      <c r="W120" s="669"/>
      <c r="X120" s="516"/>
      <c r="Y120" s="516"/>
      <c r="Z120" s="520"/>
      <c r="AA120" s="520"/>
      <c r="AB120" s="513"/>
      <c r="AC120" s="845"/>
      <c r="AD120" s="850"/>
      <c r="AE120" s="850"/>
      <c r="AH120" s="321"/>
      <c r="AI120" s="321"/>
      <c r="AJ120" s="321"/>
      <c r="AK120" s="321"/>
      <c r="AL120" s="321"/>
      <c r="AM120" s="321"/>
      <c r="AN120" s="321"/>
      <c r="AO120" s="321"/>
      <c r="AP120" s="15"/>
      <c r="AQ120" s="15"/>
      <c r="AR120" s="15"/>
      <c r="AS120" s="15"/>
    </row>
    <row r="121" spans="1:45">
      <c r="A121" s="477" t="s">
        <v>150</v>
      </c>
      <c r="B121" s="521"/>
      <c r="C121" s="521"/>
      <c r="D121" s="521"/>
      <c r="E121" s="521"/>
      <c r="F121" s="530"/>
      <c r="G121" s="530"/>
      <c r="H121" s="530"/>
      <c r="I121" s="508"/>
      <c r="J121" s="725"/>
      <c r="K121" s="725"/>
      <c r="L121" s="725"/>
      <c r="M121" s="725"/>
      <c r="N121" s="725"/>
      <c r="O121" s="725"/>
      <c r="P121" s="725"/>
      <c r="Q121" s="725"/>
      <c r="R121" s="518"/>
      <c r="S121" s="518"/>
      <c r="T121" s="519"/>
      <c r="U121" s="519"/>
      <c r="V121" s="669"/>
      <c r="W121" s="669"/>
      <c r="X121" s="516"/>
      <c r="Y121" s="516"/>
      <c r="Z121" s="520"/>
      <c r="AA121" s="520"/>
      <c r="AB121" s="513"/>
      <c r="AC121" s="845"/>
      <c r="AD121" s="850"/>
      <c r="AE121" s="850"/>
      <c r="AH121" s="321"/>
      <c r="AI121" s="321"/>
      <c r="AJ121" s="321"/>
      <c r="AK121" s="321"/>
      <c r="AL121" s="321"/>
      <c r="AM121" s="321"/>
      <c r="AN121" s="321"/>
      <c r="AO121" s="321"/>
      <c r="AP121" s="15"/>
      <c r="AQ121" s="15"/>
      <c r="AR121" s="15"/>
      <c r="AS121" s="15"/>
    </row>
    <row r="122" spans="1:45">
      <c r="A122" s="477" t="s">
        <v>151</v>
      </c>
      <c r="B122" s="521"/>
      <c r="C122" s="521"/>
      <c r="D122" s="521"/>
      <c r="E122" s="521"/>
      <c r="F122" s="530"/>
      <c r="G122" s="530"/>
      <c r="H122" s="530"/>
      <c r="I122" s="508"/>
      <c r="J122" s="725"/>
      <c r="K122" s="725"/>
      <c r="L122" s="725"/>
      <c r="M122" s="725"/>
      <c r="N122" s="725"/>
      <c r="O122" s="725"/>
      <c r="P122" s="784"/>
      <c r="Q122" s="725"/>
      <c r="R122" s="518"/>
      <c r="S122" s="518"/>
      <c r="T122" s="519"/>
      <c r="U122" s="519"/>
      <c r="V122" s="669"/>
      <c r="W122" s="669"/>
      <c r="X122" s="516"/>
      <c r="Y122" s="516"/>
      <c r="Z122" s="520"/>
      <c r="AA122" s="520"/>
      <c r="AB122" s="513"/>
      <c r="AC122" s="845"/>
      <c r="AD122" s="850"/>
      <c r="AE122" s="850"/>
      <c r="AH122" s="321"/>
      <c r="AI122" s="321"/>
      <c r="AJ122" s="321"/>
      <c r="AK122" s="321"/>
      <c r="AL122" s="321"/>
      <c r="AM122" s="321"/>
      <c r="AN122" s="321"/>
      <c r="AO122" s="321"/>
      <c r="AP122" s="15"/>
      <c r="AQ122" s="15"/>
      <c r="AR122" s="15"/>
      <c r="AS122" s="15"/>
    </row>
    <row r="123" spans="1:45">
      <c r="A123" s="477" t="s">
        <v>151</v>
      </c>
      <c r="B123" s="521"/>
      <c r="C123" s="521"/>
      <c r="D123" s="521"/>
      <c r="E123" s="521"/>
      <c r="F123" s="530"/>
      <c r="G123" s="530"/>
      <c r="H123" s="530"/>
      <c r="I123" s="508"/>
      <c r="J123" s="725"/>
      <c r="K123" s="725"/>
      <c r="L123" s="725"/>
      <c r="M123" s="725"/>
      <c r="N123" s="725"/>
      <c r="O123" s="725"/>
      <c r="P123" s="725"/>
      <c r="Q123" s="725"/>
      <c r="R123" s="518"/>
      <c r="S123" s="518"/>
      <c r="T123" s="519"/>
      <c r="U123" s="519"/>
      <c r="V123" s="669"/>
      <c r="W123" s="669"/>
      <c r="X123" s="516"/>
      <c r="Y123" s="516"/>
      <c r="Z123" s="520"/>
      <c r="AA123" s="520"/>
      <c r="AB123" s="513"/>
      <c r="AC123" s="845"/>
      <c r="AD123" s="850"/>
      <c r="AE123" s="850"/>
      <c r="AH123" s="321"/>
      <c r="AI123" s="321"/>
      <c r="AJ123" s="321"/>
      <c r="AK123" s="321"/>
      <c r="AL123" s="321"/>
      <c r="AM123" s="321"/>
      <c r="AN123" s="321"/>
      <c r="AO123" s="321"/>
      <c r="AP123" s="15"/>
      <c r="AQ123" s="15"/>
      <c r="AR123" s="15"/>
      <c r="AS123" s="15"/>
    </row>
    <row r="124" spans="1:45">
      <c r="A124" s="477" t="s">
        <v>152</v>
      </c>
      <c r="B124" s="521"/>
      <c r="C124" s="521"/>
      <c r="D124" s="521"/>
      <c r="E124" s="521"/>
      <c r="F124" s="530"/>
      <c r="G124" s="530"/>
      <c r="H124" s="530"/>
      <c r="I124" s="508"/>
      <c r="J124" s="725"/>
      <c r="K124" s="725"/>
      <c r="L124" s="725"/>
      <c r="M124" s="725"/>
      <c r="N124" s="725"/>
      <c r="O124" s="725"/>
      <c r="P124" s="725"/>
      <c r="Q124" s="725"/>
      <c r="R124" s="518"/>
      <c r="S124" s="518"/>
      <c r="T124" s="519"/>
      <c r="U124" s="519"/>
      <c r="V124" s="669"/>
      <c r="W124" s="669"/>
      <c r="X124" s="516"/>
      <c r="Y124" s="516"/>
      <c r="Z124" s="520"/>
      <c r="AA124" s="520"/>
      <c r="AB124" s="513"/>
      <c r="AC124" s="845"/>
      <c r="AD124" s="850"/>
      <c r="AE124" s="850"/>
      <c r="AH124" s="321"/>
      <c r="AI124" s="321"/>
      <c r="AJ124" s="321"/>
      <c r="AK124" s="321"/>
      <c r="AL124" s="321"/>
      <c r="AM124" s="321"/>
      <c r="AN124" s="321"/>
      <c r="AO124" s="321"/>
      <c r="AP124" s="15"/>
      <c r="AQ124" s="15"/>
      <c r="AR124" s="15"/>
      <c r="AS124" s="15"/>
    </row>
    <row r="125" spans="1:45">
      <c r="A125" s="577" t="s">
        <v>153</v>
      </c>
      <c r="B125" s="578"/>
      <c r="C125" s="578"/>
      <c r="D125" s="578"/>
      <c r="E125" s="578"/>
      <c r="F125" s="578"/>
      <c r="G125" s="578"/>
      <c r="H125" s="578"/>
      <c r="I125" s="578"/>
      <c r="J125" s="578"/>
      <c r="K125" s="578"/>
      <c r="L125" s="578"/>
      <c r="M125" s="578"/>
      <c r="N125" s="578"/>
      <c r="O125" s="578"/>
      <c r="P125" s="578"/>
      <c r="Q125" s="578"/>
      <c r="R125" s="578"/>
      <c r="S125" s="578"/>
      <c r="T125" s="578"/>
      <c r="U125" s="578"/>
      <c r="V125" s="578"/>
      <c r="W125" s="578"/>
      <c r="X125" s="578"/>
      <c r="Y125" s="578"/>
      <c r="Z125" s="578"/>
      <c r="AA125" s="578"/>
      <c r="AB125" s="578"/>
      <c r="AC125" s="846"/>
      <c r="AD125" s="829"/>
      <c r="AE125" s="829"/>
      <c r="AH125" s="321"/>
      <c r="AI125" s="321"/>
      <c r="AJ125" s="321"/>
      <c r="AK125" s="321"/>
      <c r="AL125" s="321"/>
      <c r="AM125" s="321"/>
      <c r="AN125" s="321"/>
      <c r="AO125" s="321"/>
      <c r="AP125" s="15"/>
      <c r="AQ125" s="15"/>
      <c r="AR125" s="15"/>
      <c r="AS125" s="15"/>
    </row>
    <row r="126" spans="1:45">
      <c r="A126" s="477" t="s">
        <v>156</v>
      </c>
      <c r="B126" s="508"/>
      <c r="C126" s="508"/>
      <c r="D126" s="508"/>
      <c r="E126" s="508"/>
      <c r="F126" s="508"/>
      <c r="G126" s="508"/>
      <c r="H126" s="508"/>
      <c r="I126" s="508"/>
      <c r="J126" s="836"/>
      <c r="K126" s="836"/>
      <c r="L126" s="728"/>
      <c r="M126" s="836"/>
      <c r="N126" s="836"/>
      <c r="O126" s="836"/>
      <c r="P126" s="836"/>
      <c r="Q126" s="836"/>
      <c r="R126" s="518"/>
      <c r="S126" s="518"/>
      <c r="T126" s="519">
        <f>L126</f>
        <v>0</v>
      </c>
      <c r="U126" s="519">
        <f>M126</f>
        <v>0</v>
      </c>
      <c r="V126" s="669"/>
      <c r="W126" s="669"/>
      <c r="X126" s="516"/>
      <c r="Y126" s="516"/>
      <c r="Z126" s="520"/>
      <c r="AA126" s="520"/>
      <c r="AB126" s="513"/>
      <c r="AC126" s="845"/>
      <c r="AD126" s="850"/>
      <c r="AE126" s="850"/>
      <c r="AH126" s="321"/>
      <c r="AI126" s="321"/>
      <c r="AJ126" s="321"/>
      <c r="AK126" s="321"/>
      <c r="AL126" s="321"/>
      <c r="AM126" s="321"/>
      <c r="AN126" s="321"/>
      <c r="AO126" s="321"/>
      <c r="AP126" s="15"/>
      <c r="AQ126" s="15"/>
      <c r="AR126" s="15"/>
      <c r="AS126" s="15"/>
    </row>
    <row r="127" spans="1:45">
      <c r="A127" s="477" t="s">
        <v>156</v>
      </c>
      <c r="B127" s="508"/>
      <c r="C127" s="508"/>
      <c r="D127" s="508"/>
      <c r="E127" s="508"/>
      <c r="F127" s="508"/>
      <c r="G127" s="508"/>
      <c r="H127" s="508"/>
      <c r="I127" s="508"/>
      <c r="J127" s="836"/>
      <c r="K127" s="836"/>
      <c r="L127" s="802"/>
      <c r="M127" s="836"/>
      <c r="N127" s="836"/>
      <c r="O127" s="836"/>
      <c r="P127" s="836"/>
      <c r="Q127" s="836"/>
      <c r="R127" s="518"/>
      <c r="S127" s="518"/>
      <c r="T127" s="519"/>
      <c r="U127" s="519"/>
      <c r="V127" s="669"/>
      <c r="W127" s="669"/>
      <c r="X127" s="516">
        <f>L127</f>
        <v>0</v>
      </c>
      <c r="Y127" s="516">
        <f>M127</f>
        <v>0</v>
      </c>
      <c r="Z127" s="520"/>
      <c r="AA127" s="520"/>
      <c r="AB127" s="513"/>
      <c r="AC127" s="845"/>
      <c r="AD127" s="850"/>
      <c r="AE127" s="850"/>
      <c r="AH127" s="321"/>
      <c r="AI127" s="321"/>
      <c r="AJ127" s="321"/>
      <c r="AK127" s="321"/>
      <c r="AL127" s="321"/>
      <c r="AM127" s="321"/>
      <c r="AN127" s="321"/>
      <c r="AO127" s="321"/>
      <c r="AP127" s="15"/>
      <c r="AQ127" s="15"/>
      <c r="AR127" s="15"/>
      <c r="AS127" s="15"/>
    </row>
    <row r="128" spans="1:45">
      <c r="A128" s="477" t="s">
        <v>129</v>
      </c>
      <c r="B128" s="508"/>
      <c r="C128" s="508"/>
      <c r="D128" s="508"/>
      <c r="E128" s="508"/>
      <c r="F128" s="508"/>
      <c r="G128" s="508"/>
      <c r="H128" s="508"/>
      <c r="I128" s="508"/>
      <c r="J128" s="836"/>
      <c r="K128" s="836"/>
      <c r="L128" s="836"/>
      <c r="M128" s="836"/>
      <c r="N128" s="836"/>
      <c r="O128" s="836"/>
      <c r="P128" s="836"/>
      <c r="Q128" s="836"/>
      <c r="R128" s="518"/>
      <c r="S128" s="518"/>
      <c r="T128" s="519"/>
      <c r="U128" s="519"/>
      <c r="V128" s="669"/>
      <c r="W128" s="669"/>
      <c r="X128" s="516"/>
      <c r="Y128" s="516"/>
      <c r="Z128" s="520"/>
      <c r="AA128" s="520"/>
      <c r="AB128" s="513"/>
      <c r="AC128" s="845"/>
      <c r="AD128" s="850"/>
      <c r="AE128" s="850"/>
      <c r="AH128" s="321"/>
      <c r="AI128" s="321"/>
      <c r="AJ128" s="321"/>
      <c r="AK128" s="321"/>
      <c r="AL128" s="321"/>
      <c r="AM128" s="321"/>
      <c r="AN128" s="321"/>
      <c r="AO128" s="321"/>
      <c r="AP128" s="15"/>
      <c r="AQ128" s="15"/>
      <c r="AR128" s="15"/>
      <c r="AS128" s="15"/>
    </row>
    <row r="129" spans="1:45">
      <c r="A129" s="477" t="s">
        <v>159</v>
      </c>
      <c r="B129" s="508"/>
      <c r="C129" s="508"/>
      <c r="D129" s="508"/>
      <c r="E129" s="508"/>
      <c r="F129" s="508"/>
      <c r="G129" s="508"/>
      <c r="H129" s="508"/>
      <c r="I129" s="508"/>
      <c r="J129" s="836"/>
      <c r="K129" s="836"/>
      <c r="L129" s="836"/>
      <c r="M129" s="836"/>
      <c r="N129" s="836"/>
      <c r="O129" s="836"/>
      <c r="P129" s="836"/>
      <c r="Q129" s="836"/>
      <c r="R129" s="518"/>
      <c r="S129" s="518"/>
      <c r="T129" s="519"/>
      <c r="U129" s="519"/>
      <c r="V129" s="669"/>
      <c r="W129" s="669"/>
      <c r="X129" s="516"/>
      <c r="Y129" s="516"/>
      <c r="Z129" s="520"/>
      <c r="AA129" s="520"/>
      <c r="AB129" s="513"/>
      <c r="AC129" s="845"/>
      <c r="AD129" s="850"/>
      <c r="AE129" s="850"/>
      <c r="AH129" s="321"/>
      <c r="AI129" s="321"/>
      <c r="AJ129" s="321"/>
      <c r="AK129" s="321"/>
      <c r="AL129" s="321"/>
      <c r="AM129" s="321"/>
      <c r="AN129" s="321"/>
      <c r="AO129" s="321"/>
      <c r="AP129" s="15"/>
      <c r="AQ129" s="15"/>
      <c r="AR129" s="15"/>
      <c r="AS129" s="15"/>
    </row>
    <row r="130" spans="1:45">
      <c r="A130" s="477" t="s">
        <v>158</v>
      </c>
      <c r="B130" s="508"/>
      <c r="C130" s="508"/>
      <c r="D130" s="508"/>
      <c r="E130" s="508"/>
      <c r="F130" s="508"/>
      <c r="G130" s="508"/>
      <c r="H130" s="508"/>
      <c r="I130" s="508"/>
      <c r="J130" s="836"/>
      <c r="K130" s="836"/>
      <c r="L130" s="836"/>
      <c r="M130" s="836"/>
      <c r="N130" s="836"/>
      <c r="O130" s="836"/>
      <c r="P130" s="836"/>
      <c r="Q130" s="836"/>
      <c r="R130" s="518"/>
      <c r="S130" s="518"/>
      <c r="T130" s="519"/>
      <c r="U130" s="519"/>
      <c r="V130" s="669"/>
      <c r="W130" s="669"/>
      <c r="X130" s="516"/>
      <c r="Y130" s="516"/>
      <c r="Z130" s="520"/>
      <c r="AA130" s="520"/>
      <c r="AB130" s="513"/>
      <c r="AC130" s="845"/>
      <c r="AD130" s="850"/>
      <c r="AE130" s="850"/>
      <c r="AH130" s="321"/>
      <c r="AI130" s="321"/>
      <c r="AJ130" s="321"/>
      <c r="AK130" s="321"/>
      <c r="AL130" s="321"/>
      <c r="AM130" s="321"/>
      <c r="AN130" s="321"/>
      <c r="AO130" s="321"/>
      <c r="AP130" s="15"/>
      <c r="AQ130" s="15"/>
      <c r="AR130" s="15"/>
      <c r="AS130" s="15"/>
    </row>
    <row r="131" spans="1:45">
      <c r="A131" s="577" t="s">
        <v>160</v>
      </c>
      <c r="B131" s="578"/>
      <c r="C131" s="578"/>
      <c r="D131" s="578"/>
      <c r="E131" s="578"/>
      <c r="F131" s="578"/>
      <c r="G131" s="578"/>
      <c r="H131" s="578"/>
      <c r="I131" s="578"/>
      <c r="J131" s="578"/>
      <c r="K131" s="578"/>
      <c r="L131" s="578"/>
      <c r="M131" s="578"/>
      <c r="N131" s="578"/>
      <c r="O131" s="578"/>
      <c r="P131" s="578"/>
      <c r="Q131" s="578"/>
      <c r="R131" s="578"/>
      <c r="S131" s="578"/>
      <c r="T131" s="578"/>
      <c r="U131" s="578"/>
      <c r="V131" s="578"/>
      <c r="W131" s="578"/>
      <c r="X131" s="578"/>
      <c r="Y131" s="578"/>
      <c r="Z131" s="578"/>
      <c r="AA131" s="578"/>
      <c r="AB131" s="578"/>
      <c r="AC131" s="846"/>
      <c r="AD131" s="829"/>
      <c r="AE131" s="829"/>
      <c r="AH131" s="321"/>
      <c r="AI131" s="321"/>
      <c r="AJ131" s="321"/>
      <c r="AK131" s="321"/>
      <c r="AL131" s="321"/>
      <c r="AM131" s="321"/>
      <c r="AN131" s="321"/>
      <c r="AO131" s="321"/>
      <c r="AP131" s="15"/>
      <c r="AQ131" s="15"/>
      <c r="AR131" s="15"/>
      <c r="AS131" s="15"/>
    </row>
    <row r="132" spans="1:45">
      <c r="A132" s="477" t="s">
        <v>161</v>
      </c>
      <c r="B132" s="505"/>
      <c r="C132" s="505"/>
      <c r="D132" s="505"/>
      <c r="E132" s="505"/>
      <c r="F132" s="481"/>
      <c r="G132" s="481"/>
      <c r="H132" s="481"/>
      <c r="I132" s="508"/>
      <c r="J132" s="836"/>
      <c r="K132" s="836"/>
      <c r="L132" s="836"/>
      <c r="M132" s="836"/>
      <c r="N132" s="836"/>
      <c r="O132" s="836"/>
      <c r="P132" s="836"/>
      <c r="Q132" s="836"/>
      <c r="R132" s="518"/>
      <c r="S132" s="518"/>
      <c r="T132" s="519"/>
      <c r="U132" s="519"/>
      <c r="V132" s="669"/>
      <c r="W132" s="669"/>
      <c r="X132" s="516"/>
      <c r="Y132" s="516"/>
      <c r="Z132" s="520"/>
      <c r="AA132" s="520"/>
      <c r="AB132" s="513"/>
      <c r="AC132" s="845"/>
      <c r="AD132" s="850"/>
      <c r="AE132" s="850"/>
      <c r="AH132" s="321"/>
      <c r="AI132" s="321"/>
      <c r="AJ132" s="321"/>
      <c r="AK132" s="321"/>
      <c r="AL132" s="321"/>
      <c r="AM132" s="321"/>
      <c r="AN132" s="321"/>
      <c r="AO132" s="321"/>
      <c r="AP132" s="15"/>
      <c r="AQ132" s="15"/>
      <c r="AR132" s="15"/>
      <c r="AS132" s="15"/>
    </row>
    <row r="133" spans="1:45">
      <c r="A133" s="477" t="s">
        <v>162</v>
      </c>
      <c r="B133" s="481"/>
      <c r="C133" s="481"/>
      <c r="D133" s="481"/>
      <c r="E133" s="481"/>
      <c r="F133" s="481"/>
      <c r="G133" s="481"/>
      <c r="H133" s="481"/>
      <c r="I133" s="508"/>
      <c r="J133" s="723"/>
      <c r="K133" s="836"/>
      <c r="L133" s="836"/>
      <c r="M133" s="836"/>
      <c r="N133" s="836"/>
      <c r="O133" s="836"/>
      <c r="P133" s="836"/>
      <c r="Q133" s="836"/>
      <c r="R133" s="518"/>
      <c r="S133" s="518"/>
      <c r="T133" s="519"/>
      <c r="U133" s="519"/>
      <c r="V133" s="669">
        <f>J133</f>
        <v>0</v>
      </c>
      <c r="W133" s="669">
        <f>K133</f>
        <v>0</v>
      </c>
      <c r="X133" s="516"/>
      <c r="Y133" s="516"/>
      <c r="Z133" s="520"/>
      <c r="AA133" s="520"/>
      <c r="AB133" s="513"/>
      <c r="AC133" s="845"/>
      <c r="AD133" s="850"/>
      <c r="AE133" s="850"/>
      <c r="AH133" s="321"/>
      <c r="AI133" s="321"/>
      <c r="AJ133" s="321"/>
      <c r="AK133" s="321"/>
      <c r="AL133" s="321"/>
      <c r="AM133" s="321"/>
      <c r="AN133" s="321"/>
      <c r="AO133" s="321"/>
      <c r="AP133" s="15"/>
      <c r="AQ133" s="15"/>
      <c r="AR133" s="15"/>
      <c r="AS133" s="15"/>
    </row>
    <row r="134" spans="1:45">
      <c r="A134" s="477" t="s">
        <v>163</v>
      </c>
      <c r="B134" s="481"/>
      <c r="C134" s="481"/>
      <c r="D134" s="481"/>
      <c r="E134" s="481"/>
      <c r="F134" s="481"/>
      <c r="G134" s="481"/>
      <c r="H134" s="481"/>
      <c r="I134" s="481"/>
      <c r="J134" s="836"/>
      <c r="K134" s="836"/>
      <c r="L134" s="836"/>
      <c r="M134" s="836"/>
      <c r="N134" s="836"/>
      <c r="O134" s="836"/>
      <c r="P134" s="836"/>
      <c r="Q134" s="836"/>
      <c r="R134" s="518"/>
      <c r="S134" s="518"/>
      <c r="T134" s="519"/>
      <c r="U134" s="519"/>
      <c r="V134" s="669"/>
      <c r="W134" s="669"/>
      <c r="X134" s="516"/>
      <c r="Y134" s="516"/>
      <c r="Z134" s="520"/>
      <c r="AA134" s="520"/>
      <c r="AB134" s="513"/>
      <c r="AC134" s="845"/>
      <c r="AD134" s="850"/>
      <c r="AE134" s="850"/>
      <c r="AH134" s="321"/>
      <c r="AI134" s="321"/>
      <c r="AJ134" s="321"/>
      <c r="AK134" s="321"/>
      <c r="AL134" s="321"/>
      <c r="AM134" s="321"/>
      <c r="AN134" s="321"/>
      <c r="AO134" s="321"/>
      <c r="AP134" s="15"/>
      <c r="AQ134" s="15"/>
      <c r="AR134" s="15"/>
      <c r="AS134" s="15"/>
    </row>
    <row r="135" spans="1:45">
      <c r="A135" s="477" t="s">
        <v>164</v>
      </c>
      <c r="B135" s="505"/>
      <c r="C135" s="505"/>
      <c r="D135" s="505"/>
      <c r="E135" s="505"/>
      <c r="F135" s="481"/>
      <c r="G135" s="481"/>
      <c r="H135" s="481"/>
      <c r="I135" s="481"/>
      <c r="J135" s="836"/>
      <c r="K135" s="836"/>
      <c r="L135" s="836"/>
      <c r="M135" s="836"/>
      <c r="N135" s="836"/>
      <c r="O135" s="836"/>
      <c r="P135" s="836"/>
      <c r="Q135" s="836"/>
      <c r="R135" s="518"/>
      <c r="S135" s="518"/>
      <c r="T135" s="519"/>
      <c r="U135" s="519"/>
      <c r="V135" s="669"/>
      <c r="W135" s="669"/>
      <c r="X135" s="516"/>
      <c r="Y135" s="516"/>
      <c r="Z135" s="520"/>
      <c r="AA135" s="520"/>
      <c r="AB135" s="513"/>
      <c r="AC135" s="845"/>
      <c r="AD135" s="850"/>
      <c r="AE135" s="850"/>
      <c r="AH135" s="321"/>
      <c r="AI135" s="321"/>
      <c r="AJ135" s="321"/>
      <c r="AK135" s="321"/>
      <c r="AL135" s="321"/>
      <c r="AM135" s="321"/>
      <c r="AN135" s="321"/>
      <c r="AO135" s="321"/>
      <c r="AP135" s="15"/>
      <c r="AQ135" s="15"/>
      <c r="AR135" s="15"/>
      <c r="AS135" s="15"/>
    </row>
    <row r="136" spans="1:45">
      <c r="A136" s="477" t="s">
        <v>165</v>
      </c>
      <c r="B136" s="481"/>
      <c r="C136" s="481"/>
      <c r="D136" s="481"/>
      <c r="E136" s="481"/>
      <c r="F136" s="481"/>
      <c r="G136" s="481"/>
      <c r="H136" s="481"/>
      <c r="I136" s="481"/>
      <c r="J136" s="836"/>
      <c r="K136" s="836"/>
      <c r="L136" s="837"/>
      <c r="M136" s="837"/>
      <c r="N136" s="837"/>
      <c r="O136" s="837"/>
      <c r="P136" s="837"/>
      <c r="Q136" s="837"/>
      <c r="R136" s="518"/>
      <c r="S136" s="518"/>
      <c r="T136" s="519"/>
      <c r="U136" s="519"/>
      <c r="V136" s="669"/>
      <c r="W136" s="669"/>
      <c r="X136" s="516"/>
      <c r="Y136" s="516"/>
      <c r="Z136" s="520"/>
      <c r="AA136" s="520"/>
      <c r="AB136" s="513"/>
      <c r="AC136" s="845"/>
      <c r="AD136" s="850"/>
      <c r="AE136" s="850"/>
      <c r="AH136" s="321"/>
      <c r="AI136" s="321"/>
      <c r="AJ136" s="321"/>
      <c r="AK136" s="321"/>
      <c r="AL136" s="321"/>
      <c r="AM136" s="321"/>
      <c r="AN136" s="321"/>
      <c r="AO136" s="321"/>
      <c r="AP136" s="15"/>
      <c r="AQ136" s="15"/>
      <c r="AR136" s="15"/>
      <c r="AS136" s="15"/>
    </row>
    <row r="137" spans="1:45">
      <c r="A137" s="577" t="s">
        <v>166</v>
      </c>
      <c r="B137" s="578"/>
      <c r="C137" s="578"/>
      <c r="D137" s="578"/>
      <c r="E137" s="578"/>
      <c r="F137" s="578"/>
      <c r="G137" s="578"/>
      <c r="H137" s="578"/>
      <c r="I137" s="578"/>
      <c r="J137" s="578"/>
      <c r="K137" s="578"/>
      <c r="L137" s="578"/>
      <c r="M137" s="578"/>
      <c r="N137" s="578"/>
      <c r="O137" s="578"/>
      <c r="P137" s="578"/>
      <c r="Q137" s="578"/>
      <c r="R137" s="578"/>
      <c r="S137" s="578"/>
      <c r="T137" s="578"/>
      <c r="U137" s="578"/>
      <c r="V137" s="578"/>
      <c r="W137" s="578"/>
      <c r="X137" s="578"/>
      <c r="Y137" s="578"/>
      <c r="Z137" s="578"/>
      <c r="AA137" s="578"/>
      <c r="AB137" s="578"/>
      <c r="AC137" s="846"/>
      <c r="AD137" s="829"/>
      <c r="AE137" s="829"/>
      <c r="AH137" s="321"/>
      <c r="AI137" s="321"/>
      <c r="AJ137" s="321"/>
      <c r="AK137" s="321"/>
      <c r="AL137" s="321"/>
      <c r="AM137" s="321"/>
      <c r="AN137" s="321"/>
      <c r="AO137" s="321"/>
      <c r="AP137" s="15"/>
      <c r="AQ137" s="15"/>
      <c r="AR137" s="15"/>
      <c r="AS137" s="15"/>
    </row>
    <row r="138" spans="1:45">
      <c r="A138" s="477" t="s">
        <v>167</v>
      </c>
      <c r="B138" s="492"/>
      <c r="C138" s="492"/>
      <c r="D138" s="492"/>
      <c r="E138" s="492"/>
      <c r="F138" s="492"/>
      <c r="G138" s="492"/>
      <c r="H138" s="492"/>
      <c r="I138" s="492"/>
      <c r="J138" s="838"/>
      <c r="K138" s="838"/>
      <c r="L138" s="838"/>
      <c r="M138" s="838"/>
      <c r="N138" s="838"/>
      <c r="O138" s="838"/>
      <c r="P138" s="838"/>
      <c r="Q138" s="838"/>
      <c r="R138" s="518"/>
      <c r="S138" s="518"/>
      <c r="T138" s="519"/>
      <c r="U138" s="519"/>
      <c r="V138" s="669"/>
      <c r="W138" s="669"/>
      <c r="X138" s="516"/>
      <c r="Y138" s="516"/>
      <c r="Z138" s="520"/>
      <c r="AA138" s="520"/>
      <c r="AB138" s="513"/>
      <c r="AC138" s="845"/>
      <c r="AD138" s="850"/>
      <c r="AE138" s="850"/>
      <c r="AH138" s="321"/>
      <c r="AI138" s="321"/>
      <c r="AJ138" s="321"/>
      <c r="AK138" s="321"/>
      <c r="AL138" s="321"/>
      <c r="AM138" s="321"/>
      <c r="AN138" s="321"/>
      <c r="AO138" s="321"/>
      <c r="AP138" s="15"/>
      <c r="AQ138" s="15"/>
      <c r="AR138" s="15"/>
      <c r="AS138" s="15"/>
    </row>
    <row r="139" spans="1:45">
      <c r="A139" s="577" t="s">
        <v>168</v>
      </c>
      <c r="B139" s="578"/>
      <c r="C139" s="578"/>
      <c r="D139" s="578"/>
      <c r="E139" s="578"/>
      <c r="F139" s="578"/>
      <c r="G139" s="578"/>
      <c r="H139" s="578"/>
      <c r="I139" s="578"/>
      <c r="J139" s="578"/>
      <c r="K139" s="578"/>
      <c r="L139" s="578"/>
      <c r="M139" s="578"/>
      <c r="N139" s="578"/>
      <c r="O139" s="578"/>
      <c r="P139" s="578"/>
      <c r="Q139" s="578"/>
      <c r="R139" s="578"/>
      <c r="S139" s="578"/>
      <c r="T139" s="578"/>
      <c r="U139" s="578"/>
      <c r="V139" s="578"/>
      <c r="W139" s="578"/>
      <c r="X139" s="578"/>
      <c r="Y139" s="578"/>
      <c r="Z139" s="578"/>
      <c r="AA139" s="578"/>
      <c r="AB139" s="578"/>
      <c r="AC139" s="846"/>
      <c r="AD139" s="829"/>
      <c r="AE139" s="829"/>
      <c r="AH139" s="321"/>
      <c r="AI139" s="321"/>
      <c r="AJ139" s="321"/>
      <c r="AK139" s="321"/>
      <c r="AL139" s="321"/>
      <c r="AM139" s="321"/>
      <c r="AN139" s="321"/>
      <c r="AO139" s="321"/>
      <c r="AP139" s="15"/>
      <c r="AQ139" s="15"/>
      <c r="AR139" s="15"/>
      <c r="AS139" s="15"/>
    </row>
    <row r="140" spans="1:45">
      <c r="A140" s="477" t="s">
        <v>169</v>
      </c>
      <c r="B140" s="492"/>
      <c r="C140" s="492"/>
      <c r="D140" s="492"/>
      <c r="E140" s="492"/>
      <c r="F140" s="492"/>
      <c r="G140" s="492"/>
      <c r="I140" s="492"/>
      <c r="J140" s="725"/>
      <c r="K140" s="725"/>
      <c r="L140" s="725"/>
      <c r="M140" s="725"/>
      <c r="N140" s="725"/>
      <c r="O140" s="725"/>
      <c r="P140" s="725"/>
      <c r="Q140" s="725"/>
      <c r="R140" s="518"/>
      <c r="S140" s="518"/>
      <c r="T140" s="519"/>
      <c r="U140" s="519"/>
      <c r="V140" s="669"/>
      <c r="W140" s="669"/>
      <c r="X140" s="516"/>
      <c r="Y140" s="516"/>
      <c r="Z140" s="520"/>
      <c r="AA140" s="520"/>
      <c r="AB140" s="513"/>
      <c r="AC140" s="845"/>
      <c r="AD140" s="850"/>
      <c r="AE140" s="850"/>
      <c r="AH140" s="321"/>
      <c r="AI140" s="321"/>
      <c r="AJ140" s="321"/>
      <c r="AK140" s="321"/>
      <c r="AL140" s="321"/>
      <c r="AM140" s="321"/>
      <c r="AN140" s="321"/>
      <c r="AO140" s="321"/>
      <c r="AP140" s="15"/>
      <c r="AQ140" s="15"/>
      <c r="AR140" s="15"/>
      <c r="AS140" s="15"/>
    </row>
    <row r="141" spans="1:45">
      <c r="A141" s="477" t="s">
        <v>170</v>
      </c>
      <c r="B141" s="492"/>
      <c r="C141" s="492"/>
      <c r="D141" s="492"/>
      <c r="E141" s="492"/>
      <c r="F141" s="492"/>
      <c r="G141" s="492"/>
      <c r="H141" s="492"/>
      <c r="I141" s="492"/>
      <c r="J141" s="725"/>
      <c r="K141" s="725"/>
      <c r="L141" s="725"/>
      <c r="M141" s="725"/>
      <c r="N141" s="725"/>
      <c r="O141" s="725"/>
      <c r="P141" s="725"/>
      <c r="Q141" s="725"/>
      <c r="R141" s="518"/>
      <c r="S141" s="518"/>
      <c r="T141" s="519"/>
      <c r="U141" s="519"/>
      <c r="V141" s="669"/>
      <c r="W141" s="669"/>
      <c r="X141" s="516"/>
      <c r="Y141" s="516"/>
      <c r="Z141" s="520"/>
      <c r="AA141" s="520"/>
      <c r="AB141" s="513"/>
      <c r="AC141" s="845"/>
      <c r="AD141" s="850"/>
      <c r="AE141" s="850"/>
      <c r="AH141" s="321"/>
      <c r="AI141" s="321"/>
      <c r="AJ141" s="321"/>
      <c r="AK141" s="321"/>
      <c r="AL141" s="321"/>
      <c r="AM141" s="321"/>
      <c r="AN141" s="321"/>
      <c r="AO141" s="321"/>
      <c r="AP141" s="15"/>
      <c r="AQ141" s="15"/>
      <c r="AR141" s="15"/>
      <c r="AS141" s="15"/>
    </row>
    <row r="142" spans="1:45">
      <c r="A142" s="477" t="s">
        <v>170</v>
      </c>
      <c r="B142" s="492"/>
      <c r="C142" s="492"/>
      <c r="D142" s="492"/>
      <c r="E142" s="492"/>
      <c r="F142" s="723"/>
      <c r="G142" s="464"/>
      <c r="H142" s="492"/>
      <c r="I142" s="492"/>
      <c r="J142" s="725"/>
      <c r="K142" s="725"/>
      <c r="L142" s="725"/>
      <c r="M142" s="725"/>
      <c r="N142" s="725"/>
      <c r="O142" s="725"/>
      <c r="P142" s="725"/>
      <c r="Q142" s="725"/>
      <c r="R142" s="518"/>
      <c r="S142" s="518"/>
      <c r="T142" s="519"/>
      <c r="U142" s="519"/>
      <c r="V142" s="669">
        <f>F142</f>
        <v>0</v>
      </c>
      <c r="W142" s="669"/>
      <c r="X142" s="516"/>
      <c r="Y142" s="516"/>
      <c r="Z142" s="520"/>
      <c r="AA142" s="520"/>
      <c r="AB142" s="513"/>
      <c r="AC142" s="845"/>
      <c r="AD142" s="850"/>
      <c r="AE142" s="850"/>
      <c r="AH142" s="321"/>
      <c r="AI142" s="321"/>
      <c r="AJ142" s="321"/>
      <c r="AK142" s="321"/>
      <c r="AL142" s="321"/>
      <c r="AM142" s="321"/>
      <c r="AN142" s="321"/>
      <c r="AO142" s="321"/>
      <c r="AP142" s="15"/>
      <c r="AQ142" s="15"/>
      <c r="AR142" s="15"/>
      <c r="AS142" s="15"/>
    </row>
    <row r="143" spans="1:45">
      <c r="A143" s="477" t="s">
        <v>171</v>
      </c>
      <c r="B143" s="492"/>
      <c r="C143" s="492"/>
      <c r="D143" s="492"/>
      <c r="E143" s="492"/>
      <c r="F143" s="680"/>
      <c r="G143" s="492"/>
      <c r="H143" s="492"/>
      <c r="I143" s="492"/>
      <c r="J143" s="725"/>
      <c r="K143" s="725"/>
      <c r="L143" s="725"/>
      <c r="M143" s="725"/>
      <c r="N143" s="725"/>
      <c r="O143" s="725"/>
      <c r="P143" s="784"/>
      <c r="Q143" s="725"/>
      <c r="R143" s="518"/>
      <c r="S143" s="518"/>
      <c r="T143" s="519"/>
      <c r="U143" s="519"/>
      <c r="V143" s="669"/>
      <c r="W143" s="669"/>
      <c r="X143" s="516"/>
      <c r="Y143" s="516"/>
      <c r="Z143" s="520"/>
      <c r="AA143" s="520"/>
      <c r="AB143" s="513"/>
      <c r="AC143" s="845"/>
      <c r="AD143" s="850"/>
      <c r="AE143" s="850"/>
      <c r="AH143" s="321"/>
      <c r="AI143" s="321"/>
      <c r="AJ143" s="321"/>
      <c r="AK143" s="321"/>
      <c r="AL143" s="321"/>
      <c r="AM143" s="321"/>
      <c r="AN143" s="321"/>
      <c r="AO143" s="321"/>
      <c r="AP143" s="15"/>
      <c r="AQ143" s="15"/>
      <c r="AR143" s="15"/>
      <c r="AS143" s="15"/>
    </row>
    <row r="144" spans="1:45">
      <c r="A144" s="477" t="s">
        <v>171</v>
      </c>
      <c r="B144" s="521"/>
      <c r="C144" s="521"/>
      <c r="D144" s="521"/>
      <c r="E144" s="521"/>
      <c r="F144" s="530"/>
      <c r="G144" s="530"/>
      <c r="H144" s="521"/>
      <c r="I144" s="521"/>
      <c r="J144" s="725"/>
      <c r="K144" s="725"/>
      <c r="L144" s="725"/>
      <c r="M144" s="725"/>
      <c r="N144" s="725"/>
      <c r="O144" s="725"/>
      <c r="P144" s="725"/>
      <c r="Q144" s="725"/>
      <c r="R144" s="518"/>
      <c r="S144" s="518"/>
      <c r="T144" s="519"/>
      <c r="U144" s="519"/>
      <c r="V144" s="669"/>
      <c r="W144" s="669"/>
      <c r="X144" s="516"/>
      <c r="Y144" s="516"/>
      <c r="Z144" s="520"/>
      <c r="AA144" s="520"/>
      <c r="AB144" s="513"/>
      <c r="AC144" s="845"/>
      <c r="AD144" s="850"/>
      <c r="AE144" s="850"/>
      <c r="AH144" s="321"/>
      <c r="AI144" s="321"/>
      <c r="AJ144" s="321"/>
      <c r="AK144" s="321"/>
      <c r="AL144" s="321"/>
      <c r="AM144" s="321"/>
      <c r="AN144" s="321"/>
      <c r="AO144" s="321"/>
      <c r="AP144" s="15"/>
      <c r="AQ144" s="15"/>
      <c r="AR144" s="15"/>
      <c r="AS144" s="15"/>
    </row>
    <row r="145" spans="1:45">
      <c r="A145" s="477" t="s">
        <v>173</v>
      </c>
      <c r="B145" s="623"/>
      <c r="C145" s="623"/>
      <c r="D145" s="623"/>
      <c r="E145" s="623"/>
      <c r="F145" s="623"/>
      <c r="G145" s="623"/>
      <c r="H145" s="623"/>
      <c r="I145" s="623"/>
      <c r="J145" s="725"/>
      <c r="K145" s="725"/>
      <c r="L145" s="725"/>
      <c r="M145" s="725"/>
      <c r="N145" s="725"/>
      <c r="O145" s="725"/>
      <c r="P145" s="725"/>
      <c r="Q145" s="725"/>
      <c r="R145" s="518"/>
      <c r="S145" s="518"/>
      <c r="T145" s="519"/>
      <c r="U145" s="519"/>
      <c r="V145" s="669"/>
      <c r="W145" s="669"/>
      <c r="X145" s="516"/>
      <c r="Y145" s="516"/>
      <c r="Z145" s="520"/>
      <c r="AA145" s="520"/>
      <c r="AB145" s="513"/>
      <c r="AC145" s="845"/>
      <c r="AD145" s="850"/>
      <c r="AE145" s="850"/>
      <c r="AH145" s="321"/>
      <c r="AI145" s="321"/>
      <c r="AJ145" s="321"/>
      <c r="AK145" s="321"/>
      <c r="AL145" s="321"/>
      <c r="AM145" s="321"/>
      <c r="AN145" s="321"/>
      <c r="AO145" s="321"/>
      <c r="AP145" s="15"/>
      <c r="AQ145" s="15"/>
      <c r="AR145" s="15"/>
      <c r="AS145" s="15"/>
    </row>
    <row r="146" spans="1:45">
      <c r="A146" s="477" t="s">
        <v>174</v>
      </c>
      <c r="B146" s="623"/>
      <c r="C146" s="623"/>
      <c r="D146" s="623"/>
      <c r="E146" s="623"/>
      <c r="F146" s="623"/>
      <c r="G146" s="623"/>
      <c r="H146" s="623"/>
      <c r="I146" s="623"/>
      <c r="J146" s="725"/>
      <c r="K146" s="725"/>
      <c r="L146" s="725"/>
      <c r="M146" s="725"/>
      <c r="N146" s="725"/>
      <c r="O146" s="725"/>
      <c r="P146" s="725"/>
      <c r="Q146" s="725"/>
      <c r="R146" s="518"/>
      <c r="S146" s="518"/>
      <c r="T146" s="519"/>
      <c r="U146" s="519"/>
      <c r="V146" s="669"/>
      <c r="W146" s="669"/>
      <c r="X146" s="516"/>
      <c r="Y146" s="516"/>
      <c r="Z146" s="520"/>
      <c r="AA146" s="520"/>
      <c r="AB146" s="513"/>
      <c r="AC146" s="845"/>
      <c r="AD146" s="850"/>
      <c r="AE146" s="850"/>
      <c r="AH146" s="321"/>
      <c r="AI146" s="321"/>
      <c r="AJ146" s="321"/>
      <c r="AK146" s="321"/>
      <c r="AL146" s="321"/>
      <c r="AM146" s="321"/>
      <c r="AN146" s="321"/>
      <c r="AO146" s="321"/>
      <c r="AP146" s="15"/>
      <c r="AQ146" s="15"/>
      <c r="AR146" s="15"/>
      <c r="AS146" s="15"/>
    </row>
    <row r="147" spans="1:45">
      <c r="A147" s="477" t="s">
        <v>175</v>
      </c>
      <c r="B147" s="623"/>
      <c r="C147" s="623"/>
      <c r="D147" s="623"/>
      <c r="E147" s="623"/>
      <c r="F147" s="623"/>
      <c r="G147" s="623"/>
      <c r="H147" s="623"/>
      <c r="I147" s="623"/>
      <c r="J147" s="725"/>
      <c r="K147" s="725"/>
      <c r="L147" s="725"/>
      <c r="M147" s="725"/>
      <c r="N147" s="725"/>
      <c r="O147" s="725"/>
      <c r="P147" s="725"/>
      <c r="Q147" s="725"/>
      <c r="R147" s="518"/>
      <c r="S147" s="518"/>
      <c r="T147" s="519"/>
      <c r="U147" s="519"/>
      <c r="V147" s="669"/>
      <c r="W147" s="669"/>
      <c r="X147" s="516"/>
      <c r="Y147" s="516"/>
      <c r="Z147" s="520"/>
      <c r="AA147" s="520"/>
      <c r="AB147" s="513"/>
      <c r="AC147" s="845"/>
      <c r="AD147" s="850"/>
      <c r="AE147" s="850"/>
      <c r="AH147" s="321"/>
      <c r="AI147" s="321"/>
      <c r="AJ147" s="321"/>
      <c r="AK147" s="321"/>
      <c r="AL147" s="321"/>
      <c r="AM147" s="321"/>
      <c r="AN147" s="321"/>
      <c r="AO147" s="321"/>
      <c r="AP147" s="15"/>
      <c r="AQ147" s="15"/>
      <c r="AR147" s="15"/>
      <c r="AS147" s="15"/>
    </row>
    <row r="148" spans="1:45">
      <c r="A148" s="477" t="s">
        <v>176</v>
      </c>
      <c r="B148" s="623"/>
      <c r="C148" s="623"/>
      <c r="D148" s="623"/>
      <c r="E148" s="623"/>
      <c r="F148" s="623"/>
      <c r="G148" s="623"/>
      <c r="H148" s="623"/>
      <c r="I148" s="623"/>
      <c r="J148" s="725"/>
      <c r="K148" s="725"/>
      <c r="L148" s="725"/>
      <c r="M148" s="725"/>
      <c r="N148" s="725"/>
      <c r="O148" s="725"/>
      <c r="P148" s="725"/>
      <c r="Q148" s="725"/>
      <c r="R148" s="518"/>
      <c r="S148" s="518"/>
      <c r="T148" s="519"/>
      <c r="U148" s="519"/>
      <c r="V148" s="669"/>
      <c r="W148" s="669"/>
      <c r="X148" s="516"/>
      <c r="Y148" s="516"/>
      <c r="Z148" s="520"/>
      <c r="AA148" s="520"/>
      <c r="AB148" s="513"/>
      <c r="AC148" s="845"/>
      <c r="AD148" s="850"/>
      <c r="AE148" s="850"/>
      <c r="AH148" s="321"/>
      <c r="AI148" s="321"/>
      <c r="AJ148" s="321"/>
      <c r="AK148" s="321"/>
      <c r="AL148" s="321"/>
      <c r="AM148" s="321"/>
      <c r="AN148" s="321"/>
      <c r="AO148" s="321"/>
      <c r="AP148" s="15"/>
      <c r="AQ148" s="15"/>
      <c r="AR148" s="15"/>
      <c r="AS148" s="15"/>
    </row>
    <row r="149" spans="1:45">
      <c r="A149" s="477" t="s">
        <v>177</v>
      </c>
      <c r="B149" s="623"/>
      <c r="C149" s="623"/>
      <c r="D149" s="623"/>
      <c r="E149" s="623"/>
      <c r="F149" s="623"/>
      <c r="G149" s="623"/>
      <c r="H149" s="623"/>
      <c r="I149" s="623"/>
      <c r="J149" s="723"/>
      <c r="K149" s="725"/>
      <c r="L149" s="725"/>
      <c r="M149" s="725"/>
      <c r="N149" s="725"/>
      <c r="O149" s="725"/>
      <c r="P149" s="725"/>
      <c r="Q149" s="725"/>
      <c r="R149" s="518"/>
      <c r="S149" s="518"/>
      <c r="T149" s="519"/>
      <c r="U149" s="519"/>
      <c r="V149" s="669">
        <f>J149</f>
        <v>0</v>
      </c>
      <c r="W149" s="669">
        <f>K149</f>
        <v>0</v>
      </c>
      <c r="X149" s="516"/>
      <c r="Y149" s="516"/>
      <c r="Z149" s="520"/>
      <c r="AA149" s="520"/>
      <c r="AB149" s="513"/>
      <c r="AC149" s="845"/>
      <c r="AD149" s="850"/>
      <c r="AE149" s="850"/>
      <c r="AH149" s="321"/>
      <c r="AI149" s="321"/>
      <c r="AJ149" s="321"/>
      <c r="AK149" s="321"/>
      <c r="AL149" s="321"/>
      <c r="AM149" s="321"/>
      <c r="AN149" s="321"/>
      <c r="AO149" s="321"/>
      <c r="AP149" s="15"/>
      <c r="AQ149" s="15"/>
      <c r="AR149" s="15"/>
      <c r="AS149" s="15"/>
    </row>
    <row r="150" spans="1:45">
      <c r="A150" s="477" t="s">
        <v>220</v>
      </c>
      <c r="B150" s="623"/>
      <c r="C150" s="623"/>
      <c r="D150" s="623"/>
      <c r="E150" s="623"/>
      <c r="F150" s="623"/>
      <c r="G150" s="623"/>
      <c r="H150" s="623"/>
      <c r="I150" s="623"/>
      <c r="J150" s="723"/>
      <c r="K150" s="725"/>
      <c r="L150" s="723"/>
      <c r="M150" s="725"/>
      <c r="N150" s="725"/>
      <c r="O150" s="725"/>
      <c r="P150" s="725"/>
      <c r="Q150" s="725"/>
      <c r="R150" s="518"/>
      <c r="S150" s="518"/>
      <c r="T150" s="519"/>
      <c r="U150" s="519"/>
      <c r="V150" s="669">
        <f>J150+L150</f>
        <v>0</v>
      </c>
      <c r="W150" s="669">
        <f>K150</f>
        <v>0</v>
      </c>
      <c r="X150" s="516"/>
      <c r="Y150" s="516"/>
      <c r="Z150" s="520"/>
      <c r="AA150" s="520"/>
      <c r="AB150" s="513"/>
      <c r="AC150" s="845"/>
      <c r="AD150" s="850"/>
      <c r="AE150" s="850"/>
      <c r="AH150" s="321"/>
      <c r="AI150" s="321"/>
      <c r="AJ150" s="321"/>
      <c r="AK150" s="321"/>
      <c r="AL150" s="321"/>
      <c r="AM150" s="321"/>
      <c r="AN150" s="321"/>
      <c r="AO150" s="321"/>
      <c r="AP150" s="15"/>
      <c r="AQ150" s="15"/>
      <c r="AR150" s="15"/>
      <c r="AS150" s="15"/>
    </row>
    <row r="151" spans="1:45">
      <c r="A151" s="580" t="s">
        <v>182</v>
      </c>
      <c r="B151" s="581"/>
      <c r="C151" s="581"/>
      <c r="D151" s="581"/>
      <c r="E151" s="581"/>
      <c r="F151" s="581"/>
      <c r="G151" s="581"/>
      <c r="H151" s="581"/>
      <c r="I151" s="581"/>
      <c r="J151" s="581"/>
      <c r="K151" s="581"/>
      <c r="L151" s="581"/>
      <c r="M151" s="581"/>
      <c r="N151" s="581"/>
      <c r="O151" s="581"/>
      <c r="P151" s="581"/>
      <c r="Q151" s="581"/>
      <c r="R151" s="578"/>
      <c r="S151" s="578"/>
      <c r="T151" s="578"/>
      <c r="U151" s="578"/>
      <c r="V151" s="578"/>
      <c r="W151" s="578"/>
      <c r="X151" s="578"/>
      <c r="Y151" s="578"/>
      <c r="Z151" s="578"/>
      <c r="AA151" s="578"/>
      <c r="AB151" s="578"/>
      <c r="AC151" s="846"/>
      <c r="AD151" s="829"/>
      <c r="AE151" s="829"/>
      <c r="AH151" s="321"/>
      <c r="AI151" s="321"/>
      <c r="AJ151" s="321"/>
      <c r="AK151" s="321"/>
      <c r="AL151" s="321"/>
      <c r="AM151" s="321"/>
      <c r="AN151" s="321"/>
      <c r="AO151" s="321"/>
      <c r="AP151" s="15"/>
      <c r="AQ151" s="15"/>
      <c r="AR151" s="15"/>
      <c r="AS151" s="15"/>
    </row>
    <row r="152" spans="1:45">
      <c r="A152" s="647" t="s">
        <v>263</v>
      </c>
      <c r="B152" s="530"/>
      <c r="C152" s="530"/>
      <c r="D152" s="530"/>
      <c r="E152" s="530"/>
      <c r="F152" s="530"/>
      <c r="G152" s="530"/>
      <c r="H152" s="530"/>
      <c r="I152" s="530"/>
      <c r="J152" s="725"/>
      <c r="K152" s="725"/>
      <c r="L152" s="725"/>
      <c r="M152" s="725"/>
      <c r="N152" s="725"/>
      <c r="O152" s="725"/>
      <c r="P152" s="725"/>
      <c r="Q152" s="725"/>
      <c r="R152" s="518"/>
      <c r="S152" s="518"/>
      <c r="T152" s="519"/>
      <c r="U152" s="519"/>
      <c r="V152" s="669"/>
      <c r="W152" s="669"/>
      <c r="X152" s="516"/>
      <c r="Y152" s="516"/>
      <c r="Z152" s="520"/>
      <c r="AA152" s="520"/>
      <c r="AB152" s="513"/>
      <c r="AC152" s="845"/>
      <c r="AD152" s="850"/>
      <c r="AE152" s="850"/>
      <c r="AH152" s="321"/>
      <c r="AI152" s="321"/>
      <c r="AJ152" s="321"/>
      <c r="AK152" s="321"/>
      <c r="AL152" s="321"/>
      <c r="AM152" s="321"/>
      <c r="AN152" s="321"/>
      <c r="AO152" s="321"/>
      <c r="AP152" s="15"/>
      <c r="AQ152" s="15"/>
      <c r="AR152" s="15"/>
      <c r="AS152" s="15"/>
    </row>
    <row r="153" spans="1:45">
      <c r="A153" s="477" t="s">
        <v>186</v>
      </c>
      <c r="B153" s="623"/>
      <c r="C153" s="623"/>
      <c r="D153" s="623"/>
      <c r="E153" s="623"/>
      <c r="F153" s="623"/>
      <c r="G153" s="623"/>
      <c r="H153" s="623"/>
      <c r="I153" s="623"/>
      <c r="J153" s="723"/>
      <c r="K153" s="725"/>
      <c r="L153" s="725"/>
      <c r="M153" s="725"/>
      <c r="N153" s="725"/>
      <c r="O153" s="725"/>
      <c r="P153" s="725"/>
      <c r="Q153" s="725"/>
      <c r="R153" s="518"/>
      <c r="S153" s="518"/>
      <c r="T153" s="519"/>
      <c r="U153" s="519"/>
      <c r="V153" s="669"/>
      <c r="W153" s="669"/>
      <c r="X153" s="516"/>
      <c r="Y153" s="516"/>
      <c r="Z153" s="520"/>
      <c r="AA153" s="520"/>
      <c r="AB153" s="513"/>
      <c r="AC153" s="845"/>
      <c r="AD153" s="850"/>
      <c r="AE153" s="850"/>
      <c r="AH153" s="321"/>
      <c r="AI153" s="321"/>
      <c r="AJ153" s="321"/>
      <c r="AK153" s="321"/>
      <c r="AL153" s="321"/>
      <c r="AM153" s="321"/>
      <c r="AN153" s="321"/>
      <c r="AO153" s="321"/>
      <c r="AP153" s="15"/>
      <c r="AQ153" s="15"/>
      <c r="AR153" s="15"/>
      <c r="AS153" s="15"/>
    </row>
    <row r="154" spans="1:45">
      <c r="A154" s="477" t="s">
        <v>183</v>
      </c>
      <c r="B154" s="623"/>
      <c r="C154" s="623"/>
      <c r="D154" s="623"/>
      <c r="E154" s="623"/>
      <c r="F154" s="623"/>
      <c r="G154" s="623"/>
      <c r="H154" s="623"/>
      <c r="I154" s="623"/>
      <c r="J154" s="725"/>
      <c r="K154" s="725"/>
      <c r="L154" s="725"/>
      <c r="M154" s="725"/>
      <c r="N154" s="725"/>
      <c r="O154" s="725"/>
      <c r="P154" s="725"/>
      <c r="Q154" s="725"/>
      <c r="R154" s="518"/>
      <c r="S154" s="518"/>
      <c r="T154" s="519"/>
      <c r="U154" s="519"/>
      <c r="V154" s="669"/>
      <c r="W154" s="669"/>
      <c r="X154" s="516"/>
      <c r="Y154" s="516"/>
      <c r="Z154" s="520"/>
      <c r="AA154" s="520"/>
      <c r="AB154" s="513"/>
      <c r="AC154" s="845"/>
      <c r="AD154" s="850"/>
      <c r="AE154" s="850"/>
      <c r="AH154" s="321"/>
      <c r="AI154" s="321"/>
      <c r="AJ154" s="321"/>
      <c r="AK154" s="321"/>
      <c r="AL154" s="321"/>
      <c r="AM154" s="321"/>
      <c r="AN154" s="321"/>
      <c r="AO154" s="321"/>
      <c r="AP154" s="15"/>
      <c r="AQ154" s="15"/>
      <c r="AR154" s="15"/>
      <c r="AS154" s="15"/>
    </row>
    <row r="155" spans="1:45">
      <c r="A155" s="477" t="s">
        <v>183</v>
      </c>
      <c r="B155" s="623"/>
      <c r="C155" s="623"/>
      <c r="D155" s="623"/>
      <c r="E155" s="623"/>
      <c r="F155" s="623"/>
      <c r="G155" s="623"/>
      <c r="H155" s="623"/>
      <c r="I155" s="623"/>
      <c r="J155" s="725"/>
      <c r="K155" s="725"/>
      <c r="L155" s="725"/>
      <c r="M155" s="725"/>
      <c r="N155" s="725"/>
      <c r="O155" s="725"/>
      <c r="P155" s="725"/>
      <c r="Q155" s="725"/>
      <c r="R155" s="518"/>
      <c r="S155" s="518"/>
      <c r="T155" s="519"/>
      <c r="U155" s="519"/>
      <c r="V155" s="669"/>
      <c r="W155" s="669"/>
      <c r="X155" s="516"/>
      <c r="Y155" s="516"/>
      <c r="Z155" s="520"/>
      <c r="AA155" s="520"/>
      <c r="AB155" s="513"/>
      <c r="AC155" s="845"/>
      <c r="AD155" s="850"/>
      <c r="AE155" s="850"/>
      <c r="AH155" s="321"/>
      <c r="AI155" s="321"/>
      <c r="AJ155" s="321"/>
      <c r="AK155" s="321"/>
      <c r="AL155" s="321"/>
      <c r="AM155" s="321"/>
      <c r="AN155" s="321"/>
      <c r="AO155" s="321"/>
      <c r="AP155" s="15"/>
      <c r="AQ155" s="15"/>
      <c r="AR155" s="15"/>
      <c r="AS155" s="15"/>
    </row>
    <row r="156" spans="1:45">
      <c r="A156" s="477" t="s">
        <v>184</v>
      </c>
      <c r="B156" s="623"/>
      <c r="C156" s="623"/>
      <c r="D156" s="623"/>
      <c r="E156" s="623"/>
      <c r="F156" s="623"/>
      <c r="G156" s="623"/>
      <c r="H156" s="623"/>
      <c r="I156" s="623"/>
      <c r="J156" s="725"/>
      <c r="K156" s="725"/>
      <c r="L156" s="725"/>
      <c r="M156" s="725"/>
      <c r="N156" s="725"/>
      <c r="O156" s="725"/>
      <c r="P156" s="784"/>
      <c r="Q156" s="725"/>
      <c r="R156" s="518"/>
      <c r="S156" s="518"/>
      <c r="T156" s="519"/>
      <c r="U156" s="519"/>
      <c r="V156" s="669"/>
      <c r="W156" s="669"/>
      <c r="X156" s="516"/>
      <c r="Y156" s="516"/>
      <c r="Z156" s="520"/>
      <c r="AA156" s="520"/>
      <c r="AB156" s="513"/>
      <c r="AC156" s="845"/>
      <c r="AD156" s="850"/>
      <c r="AE156" s="850"/>
      <c r="AH156" s="321"/>
      <c r="AI156" s="321"/>
      <c r="AJ156" s="321"/>
      <c r="AK156" s="321"/>
      <c r="AL156" s="321"/>
      <c r="AM156" s="321"/>
      <c r="AN156" s="321"/>
      <c r="AO156" s="321"/>
      <c r="AP156" s="15"/>
      <c r="AQ156" s="15"/>
      <c r="AR156" s="15"/>
      <c r="AS156" s="15"/>
    </row>
    <row r="157" spans="1:45">
      <c r="A157" s="477" t="s">
        <v>184</v>
      </c>
      <c r="B157" s="623"/>
      <c r="C157" s="623"/>
      <c r="D157" s="623"/>
      <c r="E157" s="623"/>
      <c r="F157" s="623"/>
      <c r="G157" s="623"/>
      <c r="H157" s="623"/>
      <c r="I157" s="623"/>
      <c r="J157" s="725"/>
      <c r="K157" s="725"/>
      <c r="L157" s="725"/>
      <c r="M157" s="725"/>
      <c r="N157" s="725"/>
      <c r="O157" s="725"/>
      <c r="P157" s="725"/>
      <c r="Q157" s="725"/>
      <c r="R157" s="518"/>
      <c r="S157" s="518"/>
      <c r="T157" s="519"/>
      <c r="U157" s="519"/>
      <c r="V157" s="669"/>
      <c r="W157" s="669"/>
      <c r="X157" s="516"/>
      <c r="Y157" s="516"/>
      <c r="Z157" s="520"/>
      <c r="AA157" s="520"/>
      <c r="AB157" s="513"/>
      <c r="AC157" s="845"/>
      <c r="AD157" s="850"/>
      <c r="AE157" s="850"/>
      <c r="AH157" s="321"/>
      <c r="AI157" s="321"/>
      <c r="AJ157" s="321"/>
      <c r="AK157" s="321"/>
      <c r="AL157" s="321"/>
      <c r="AM157" s="321"/>
      <c r="AN157" s="321"/>
      <c r="AO157" s="321"/>
      <c r="AP157" s="15"/>
      <c r="AQ157" s="15"/>
      <c r="AR157" s="15"/>
      <c r="AS157" s="15"/>
    </row>
    <row r="158" spans="1:45">
      <c r="A158" s="477" t="s">
        <v>264</v>
      </c>
      <c r="B158" s="623"/>
      <c r="C158" s="623"/>
      <c r="D158" s="623"/>
      <c r="E158" s="623"/>
      <c r="F158" s="623"/>
      <c r="G158" s="623"/>
      <c r="H158" s="623"/>
      <c r="I158" s="623"/>
      <c r="J158" s="725"/>
      <c r="K158" s="725"/>
      <c r="L158" s="725"/>
      <c r="M158" s="725"/>
      <c r="N158" s="725"/>
      <c r="O158" s="725"/>
      <c r="P158" s="725"/>
      <c r="Q158" s="725"/>
      <c r="R158" s="518"/>
      <c r="S158" s="518"/>
      <c r="T158" s="519"/>
      <c r="U158" s="519"/>
      <c r="V158" s="669"/>
      <c r="W158" s="669"/>
      <c r="X158" s="516"/>
      <c r="Y158" s="516"/>
      <c r="Z158" s="520"/>
      <c r="AA158" s="520"/>
      <c r="AB158" s="513"/>
      <c r="AC158" s="845"/>
      <c r="AD158" s="850"/>
      <c r="AE158" s="850"/>
      <c r="AH158" s="321"/>
      <c r="AI158" s="321"/>
      <c r="AJ158" s="321"/>
      <c r="AK158" s="321"/>
      <c r="AL158" s="321"/>
      <c r="AM158" s="321"/>
      <c r="AN158" s="321"/>
      <c r="AO158" s="321"/>
      <c r="AP158" s="15"/>
      <c r="AQ158" s="15"/>
      <c r="AR158" s="15"/>
      <c r="AS158" s="15"/>
    </row>
    <row r="159" spans="1:45">
      <c r="A159" s="477" t="s">
        <v>246</v>
      </c>
      <c r="B159" s="623"/>
      <c r="C159" s="623"/>
      <c r="D159" s="623"/>
      <c r="E159" s="623"/>
      <c r="F159" s="623"/>
      <c r="G159" s="623"/>
      <c r="H159" s="623"/>
      <c r="I159" s="623"/>
      <c r="J159" s="725"/>
      <c r="K159" s="725"/>
      <c r="L159" s="725"/>
      <c r="M159" s="725"/>
      <c r="N159" s="725"/>
      <c r="O159" s="725"/>
      <c r="P159" s="725"/>
      <c r="Q159" s="725"/>
      <c r="R159" s="518"/>
      <c r="S159" s="518"/>
      <c r="T159" s="519"/>
      <c r="U159" s="519"/>
      <c r="V159" s="669"/>
      <c r="W159" s="669"/>
      <c r="X159" s="516"/>
      <c r="Y159" s="516"/>
      <c r="Z159" s="520"/>
      <c r="AA159" s="520"/>
      <c r="AB159" s="513"/>
      <c r="AC159" s="845"/>
      <c r="AD159" s="850"/>
      <c r="AE159" s="850"/>
      <c r="AH159" s="321"/>
      <c r="AI159" s="321"/>
      <c r="AJ159" s="321"/>
      <c r="AK159" s="321"/>
      <c r="AL159" s="321"/>
      <c r="AM159" s="321"/>
      <c r="AN159" s="321"/>
      <c r="AO159" s="321"/>
      <c r="AP159" s="15"/>
      <c r="AQ159" s="15"/>
      <c r="AR159" s="15"/>
      <c r="AS159" s="15"/>
    </row>
    <row r="160" spans="1:45">
      <c r="A160" s="477" t="s">
        <v>199</v>
      </c>
      <c r="B160" s="623"/>
      <c r="C160" s="623"/>
      <c r="D160" s="623"/>
      <c r="E160" s="623"/>
      <c r="F160" s="623"/>
      <c r="G160" s="623"/>
      <c r="H160" s="623"/>
      <c r="I160" s="623"/>
      <c r="J160" s="725"/>
      <c r="K160" s="725"/>
      <c r="L160" s="725"/>
      <c r="M160" s="725"/>
      <c r="N160" s="725"/>
      <c r="O160" s="725"/>
      <c r="P160" s="725"/>
      <c r="Q160" s="725"/>
      <c r="R160" s="518"/>
      <c r="S160" s="518"/>
      <c r="T160" s="519"/>
      <c r="U160" s="519"/>
      <c r="V160" s="669"/>
      <c r="W160" s="669"/>
      <c r="X160" s="516"/>
      <c r="Y160" s="516"/>
      <c r="Z160" s="520"/>
      <c r="AA160" s="520"/>
      <c r="AB160" s="513"/>
      <c r="AC160" s="845"/>
      <c r="AD160" s="850"/>
      <c r="AE160" s="850"/>
      <c r="AH160" s="321"/>
      <c r="AI160" s="321"/>
      <c r="AJ160" s="321"/>
      <c r="AK160" s="321"/>
      <c r="AL160" s="321"/>
      <c r="AM160" s="321"/>
      <c r="AN160" s="321"/>
      <c r="AO160" s="321"/>
      <c r="AP160" s="15"/>
      <c r="AQ160" s="15"/>
      <c r="AR160" s="15"/>
      <c r="AS160" s="15"/>
    </row>
    <row r="161" spans="1:45">
      <c r="A161" s="477" t="s">
        <v>185</v>
      </c>
      <c r="B161" s="623"/>
      <c r="C161" s="623"/>
      <c r="D161" s="623"/>
      <c r="E161" s="623"/>
      <c r="F161" s="623"/>
      <c r="G161" s="623"/>
      <c r="H161" s="623"/>
      <c r="I161" s="623"/>
      <c r="J161" s="725"/>
      <c r="K161" s="725"/>
      <c r="L161" s="725"/>
      <c r="M161" s="725"/>
      <c r="N161" s="725"/>
      <c r="O161" s="725"/>
      <c r="P161" s="725"/>
      <c r="Q161" s="725"/>
      <c r="R161" s="518"/>
      <c r="S161" s="518"/>
      <c r="T161" s="519"/>
      <c r="U161" s="519"/>
      <c r="V161" s="669"/>
      <c r="W161" s="669"/>
      <c r="X161" s="516"/>
      <c r="Y161" s="516"/>
      <c r="Z161" s="520"/>
      <c r="AA161" s="520"/>
      <c r="AB161" s="513"/>
      <c r="AC161" s="845"/>
      <c r="AD161" s="850"/>
      <c r="AE161" s="850"/>
      <c r="AH161" s="321"/>
      <c r="AI161" s="321"/>
      <c r="AJ161" s="321"/>
      <c r="AK161" s="321"/>
      <c r="AL161" s="321"/>
      <c r="AM161" s="321"/>
      <c r="AN161" s="321"/>
      <c r="AO161" s="321"/>
      <c r="AP161" s="15"/>
      <c r="AQ161" s="15"/>
      <c r="AR161" s="15"/>
      <c r="AS161" s="15"/>
    </row>
    <row r="162" spans="1:45">
      <c r="A162" s="577" t="s">
        <v>168</v>
      </c>
      <c r="B162" s="578"/>
      <c r="C162" s="578"/>
      <c r="D162" s="578"/>
      <c r="E162" s="578"/>
      <c r="F162" s="578"/>
      <c r="G162" s="578"/>
      <c r="H162" s="578"/>
      <c r="I162" s="578"/>
      <c r="J162" s="578"/>
      <c r="K162" s="578"/>
      <c r="L162" s="578"/>
      <c r="M162" s="578"/>
      <c r="N162" s="578"/>
      <c r="O162" s="578"/>
      <c r="P162" s="578"/>
      <c r="Q162" s="578"/>
      <c r="R162" s="578"/>
      <c r="S162" s="578"/>
      <c r="T162" s="578"/>
      <c r="U162" s="578"/>
      <c r="V162" s="578"/>
      <c r="W162" s="578"/>
      <c r="X162" s="578"/>
      <c r="Y162" s="578"/>
      <c r="Z162" s="578"/>
      <c r="AA162" s="578"/>
      <c r="AB162" s="578"/>
      <c r="AC162" s="846"/>
      <c r="AD162" s="829"/>
      <c r="AE162" s="829"/>
      <c r="AH162" s="321"/>
      <c r="AI162" s="321"/>
      <c r="AJ162" s="321"/>
      <c r="AK162" s="321"/>
      <c r="AL162" s="321"/>
      <c r="AM162" s="321"/>
      <c r="AN162" s="321"/>
      <c r="AO162" s="321"/>
      <c r="AP162" s="15"/>
      <c r="AQ162" s="15"/>
      <c r="AR162" s="15"/>
      <c r="AS162" s="15"/>
    </row>
    <row r="163" spans="1:45">
      <c r="A163" s="477" t="s">
        <v>208</v>
      </c>
      <c r="B163" s="623"/>
      <c r="C163" s="623"/>
      <c r="D163" s="623"/>
      <c r="E163" s="623"/>
      <c r="F163" s="623"/>
      <c r="G163" s="623"/>
      <c r="H163" s="623"/>
      <c r="I163" s="623"/>
      <c r="J163" s="837"/>
      <c r="K163" s="725"/>
      <c r="L163" s="725"/>
      <c r="M163" s="725"/>
      <c r="N163" s="725"/>
      <c r="O163" s="725"/>
      <c r="P163" s="725"/>
      <c r="Q163" s="725"/>
      <c r="R163" s="518"/>
      <c r="S163" s="518"/>
      <c r="T163" s="519"/>
      <c r="U163" s="519"/>
      <c r="V163" s="669"/>
      <c r="W163" s="669">
        <f>K163</f>
        <v>0</v>
      </c>
      <c r="X163" s="516"/>
      <c r="Y163" s="516"/>
      <c r="Z163" s="520"/>
      <c r="AA163" s="520"/>
      <c r="AB163" s="513"/>
      <c r="AC163" s="845"/>
      <c r="AD163" s="850"/>
      <c r="AE163" s="850"/>
      <c r="AH163" s="321"/>
      <c r="AI163" s="321"/>
      <c r="AJ163" s="321"/>
      <c r="AK163" s="321"/>
      <c r="AL163" s="321"/>
      <c r="AM163" s="321"/>
      <c r="AN163" s="321"/>
      <c r="AO163" s="321"/>
      <c r="AP163" s="15"/>
      <c r="AQ163" s="15"/>
      <c r="AR163" s="15"/>
      <c r="AS163" s="15"/>
    </row>
    <row r="164" spans="1:45">
      <c r="A164" s="477" t="s">
        <v>187</v>
      </c>
      <c r="B164" s="623"/>
      <c r="C164" s="623"/>
      <c r="D164" s="623"/>
      <c r="E164" s="623"/>
      <c r="F164" s="623"/>
      <c r="G164" s="623"/>
      <c r="H164" s="623"/>
      <c r="I164" s="623"/>
      <c r="J164" s="725"/>
      <c r="K164" s="725"/>
      <c r="L164" s="725"/>
      <c r="M164" s="725"/>
      <c r="N164" s="725"/>
      <c r="O164" s="725"/>
      <c r="P164" s="725"/>
      <c r="Q164" s="725"/>
      <c r="R164" s="518"/>
      <c r="S164" s="518"/>
      <c r="T164" s="519"/>
      <c r="U164" s="519"/>
      <c r="V164" s="669"/>
      <c r="W164" s="669"/>
      <c r="X164" s="516"/>
      <c r="Y164" s="516"/>
      <c r="Z164" s="520"/>
      <c r="AA164" s="520"/>
      <c r="AB164" s="513"/>
      <c r="AC164" s="845"/>
      <c r="AD164" s="850"/>
      <c r="AE164" s="850"/>
      <c r="AH164" s="321"/>
      <c r="AI164" s="321"/>
      <c r="AJ164" s="321"/>
      <c r="AK164" s="321"/>
      <c r="AL164" s="321"/>
      <c r="AM164" s="321"/>
      <c r="AN164" s="321"/>
      <c r="AO164" s="321"/>
      <c r="AP164" s="15"/>
      <c r="AQ164" s="15"/>
      <c r="AR164" s="15"/>
      <c r="AS164" s="15"/>
    </row>
    <row r="165" spans="1:45">
      <c r="A165" s="477" t="s">
        <v>188</v>
      </c>
      <c r="B165" s="623"/>
      <c r="C165" s="623"/>
      <c r="D165" s="623"/>
      <c r="E165" s="623"/>
      <c r="F165" s="492"/>
      <c r="G165" s="492"/>
      <c r="H165" s="623"/>
      <c r="I165" s="623"/>
      <c r="J165" s="725"/>
      <c r="K165" s="725"/>
      <c r="L165" s="725"/>
      <c r="M165" s="725"/>
      <c r="N165" s="725"/>
      <c r="O165" s="725"/>
      <c r="P165" s="725"/>
      <c r="Q165" s="725"/>
      <c r="R165" s="518"/>
      <c r="S165" s="518"/>
      <c r="T165" s="519"/>
      <c r="U165" s="519"/>
      <c r="V165" s="669"/>
      <c r="W165" s="669"/>
      <c r="X165" s="516"/>
      <c r="Y165" s="516"/>
      <c r="Z165" s="520"/>
      <c r="AA165" s="520"/>
      <c r="AB165" s="513"/>
      <c r="AC165" s="845"/>
      <c r="AD165" s="850"/>
      <c r="AE165" s="850"/>
      <c r="AH165" s="321"/>
      <c r="AI165" s="321"/>
      <c r="AJ165" s="321"/>
      <c r="AK165" s="321"/>
      <c r="AL165" s="321"/>
      <c r="AM165" s="321"/>
      <c r="AN165" s="321"/>
      <c r="AO165" s="321"/>
      <c r="AP165" s="15"/>
      <c r="AQ165" s="15"/>
      <c r="AR165" s="15"/>
      <c r="AS165" s="15"/>
    </row>
    <row r="166" spans="1:45">
      <c r="A166" s="477" t="s">
        <v>189</v>
      </c>
      <c r="B166" s="623"/>
      <c r="C166" s="623"/>
      <c r="D166" s="623"/>
      <c r="E166" s="623"/>
      <c r="F166" s="623"/>
      <c r="G166" s="623"/>
      <c r="H166" s="623"/>
      <c r="I166" s="623"/>
      <c r="J166" s="725"/>
      <c r="K166" s="725"/>
      <c r="L166" s="725"/>
      <c r="M166" s="725"/>
      <c r="N166" s="725"/>
      <c r="O166" s="725"/>
      <c r="P166" s="725"/>
      <c r="Q166" s="725"/>
      <c r="R166" s="518"/>
      <c r="S166" s="518"/>
      <c r="T166" s="519"/>
      <c r="U166" s="519"/>
      <c r="V166" s="669"/>
      <c r="W166" s="669"/>
      <c r="X166" s="516"/>
      <c r="Y166" s="516"/>
      <c r="Z166" s="520"/>
      <c r="AA166" s="520"/>
      <c r="AB166" s="513"/>
      <c r="AC166" s="845"/>
      <c r="AD166" s="850"/>
      <c r="AE166" s="850"/>
      <c r="AH166" s="321"/>
      <c r="AI166" s="321"/>
      <c r="AJ166" s="321"/>
      <c r="AK166" s="321"/>
      <c r="AL166" s="321"/>
      <c r="AM166" s="321"/>
      <c r="AN166" s="321"/>
      <c r="AO166" s="321"/>
      <c r="AP166" s="15"/>
      <c r="AQ166" s="15"/>
      <c r="AR166" s="15"/>
      <c r="AS166" s="15"/>
    </row>
    <row r="167" spans="1:45">
      <c r="A167" s="477" t="s">
        <v>190</v>
      </c>
      <c r="B167" s="623"/>
      <c r="C167" s="623"/>
      <c r="D167" s="623"/>
      <c r="E167" s="623"/>
      <c r="F167" s="623"/>
      <c r="G167" s="623"/>
      <c r="H167" s="623"/>
      <c r="I167" s="623"/>
      <c r="J167" s="725"/>
      <c r="K167" s="725"/>
      <c r="L167" s="725"/>
      <c r="M167" s="725"/>
      <c r="N167" s="725"/>
      <c r="O167" s="725"/>
      <c r="P167" s="725"/>
      <c r="Q167" s="725"/>
      <c r="R167" s="518"/>
      <c r="S167" s="518"/>
      <c r="T167" s="519"/>
      <c r="U167" s="519"/>
      <c r="V167" s="669"/>
      <c r="W167" s="669"/>
      <c r="X167" s="516"/>
      <c r="Y167" s="516"/>
      <c r="Z167" s="520"/>
      <c r="AA167" s="520"/>
      <c r="AB167" s="513"/>
      <c r="AC167" s="845"/>
      <c r="AD167" s="850"/>
      <c r="AE167" s="850"/>
      <c r="AH167" s="321"/>
      <c r="AI167" s="321"/>
      <c r="AJ167" s="321"/>
      <c r="AK167" s="321"/>
      <c r="AL167" s="321"/>
      <c r="AM167" s="321"/>
      <c r="AN167" s="321"/>
      <c r="AO167" s="321"/>
      <c r="AP167" s="15"/>
      <c r="AQ167" s="15"/>
      <c r="AR167" s="15"/>
      <c r="AS167" s="15"/>
    </row>
    <row r="168" spans="1:45">
      <c r="A168" s="477" t="s">
        <v>191</v>
      </c>
      <c r="B168" s="623"/>
      <c r="C168" s="623"/>
      <c r="D168" s="623"/>
      <c r="E168" s="623"/>
      <c r="F168" s="623"/>
      <c r="G168" s="623"/>
      <c r="H168" s="623"/>
      <c r="I168" s="623"/>
      <c r="J168" s="725"/>
      <c r="K168" s="725"/>
      <c r="L168" s="725"/>
      <c r="M168" s="725"/>
      <c r="N168" s="725"/>
      <c r="O168" s="725"/>
      <c r="P168" s="725"/>
      <c r="Q168" s="725"/>
      <c r="R168" s="518"/>
      <c r="S168" s="518"/>
      <c r="T168" s="519"/>
      <c r="U168" s="519"/>
      <c r="V168" s="669"/>
      <c r="W168" s="669"/>
      <c r="X168" s="516"/>
      <c r="Y168" s="516"/>
      <c r="Z168" s="520"/>
      <c r="AA168" s="520"/>
      <c r="AB168" s="513"/>
      <c r="AC168" s="845"/>
      <c r="AD168" s="850"/>
      <c r="AE168" s="850"/>
      <c r="AH168" s="321"/>
      <c r="AI168" s="321"/>
      <c r="AJ168" s="321"/>
      <c r="AK168" s="321"/>
      <c r="AL168" s="321"/>
      <c r="AM168" s="321"/>
      <c r="AN168" s="321"/>
      <c r="AO168" s="321"/>
      <c r="AP168" s="15"/>
      <c r="AQ168" s="15"/>
      <c r="AR168" s="15"/>
      <c r="AS168" s="15"/>
    </row>
    <row r="169" spans="1:45">
      <c r="A169" s="477" t="s">
        <v>202</v>
      </c>
      <c r="B169" s="623"/>
      <c r="C169" s="623"/>
      <c r="D169" s="623"/>
      <c r="E169" s="623"/>
      <c r="F169" s="623"/>
      <c r="G169" s="623"/>
      <c r="H169" s="623"/>
      <c r="I169" s="623"/>
      <c r="J169" s="725"/>
      <c r="K169" s="725"/>
      <c r="L169" s="725"/>
      <c r="M169" s="725"/>
      <c r="N169" s="725"/>
      <c r="O169" s="725"/>
      <c r="P169" s="725"/>
      <c r="Q169" s="725"/>
      <c r="R169" s="518"/>
      <c r="S169" s="518"/>
      <c r="T169" s="519"/>
      <c r="U169" s="519"/>
      <c r="V169" s="669"/>
      <c r="W169" s="669"/>
      <c r="X169" s="516"/>
      <c r="Y169" s="516"/>
      <c r="Z169" s="520"/>
      <c r="AA169" s="520"/>
      <c r="AB169" s="513"/>
      <c r="AC169" s="845"/>
      <c r="AD169" s="850"/>
      <c r="AE169" s="850"/>
      <c r="AH169" s="321"/>
      <c r="AI169" s="321"/>
      <c r="AJ169" s="321"/>
      <c r="AK169" s="321"/>
      <c r="AL169" s="321"/>
      <c r="AM169" s="321"/>
      <c r="AN169" s="321"/>
      <c r="AO169" s="321"/>
      <c r="AP169" s="15"/>
      <c r="AQ169" s="15"/>
      <c r="AR169" s="15"/>
      <c r="AS169" s="15"/>
    </row>
    <row r="170" spans="1:45">
      <c r="A170" s="477" t="s">
        <v>203</v>
      </c>
      <c r="B170" s="623"/>
      <c r="C170" s="623"/>
      <c r="D170" s="623"/>
      <c r="E170" s="623"/>
      <c r="F170" s="623"/>
      <c r="G170" s="623"/>
      <c r="H170" s="623"/>
      <c r="I170" s="623"/>
      <c r="J170" s="725"/>
      <c r="K170" s="725"/>
      <c r="L170" s="725"/>
      <c r="M170" s="725"/>
      <c r="N170" s="725"/>
      <c r="O170" s="725"/>
      <c r="P170" s="725"/>
      <c r="Q170" s="725"/>
      <c r="R170" s="518"/>
      <c r="S170" s="518"/>
      <c r="T170" s="519"/>
      <c r="U170" s="519"/>
      <c r="V170" s="669"/>
      <c r="W170" s="669"/>
      <c r="X170" s="516"/>
      <c r="Y170" s="516"/>
      <c r="Z170" s="520"/>
      <c r="AA170" s="520"/>
      <c r="AB170" s="513"/>
      <c r="AC170" s="845"/>
      <c r="AD170" s="850"/>
      <c r="AE170" s="850"/>
      <c r="AH170" s="321"/>
      <c r="AI170" s="321"/>
      <c r="AJ170" s="321"/>
      <c r="AK170" s="321"/>
      <c r="AL170" s="321"/>
      <c r="AM170" s="321"/>
      <c r="AN170" s="321"/>
      <c r="AO170" s="321"/>
      <c r="AP170" s="15"/>
      <c r="AQ170" s="15"/>
      <c r="AR170" s="15"/>
      <c r="AS170" s="15"/>
    </row>
    <row r="171" spans="1:45">
      <c r="A171" s="477" t="s">
        <v>201</v>
      </c>
      <c r="B171" s="623"/>
      <c r="C171" s="623"/>
      <c r="D171" s="623"/>
      <c r="E171" s="623"/>
      <c r="F171" s="623"/>
      <c r="G171" s="623"/>
      <c r="H171" s="623"/>
      <c r="I171" s="623"/>
      <c r="J171" s="725"/>
      <c r="K171" s="725"/>
      <c r="L171" s="725"/>
      <c r="M171" s="725"/>
      <c r="N171" s="725"/>
      <c r="O171" s="725"/>
      <c r="P171" s="725"/>
      <c r="Q171" s="725"/>
      <c r="R171" s="518"/>
      <c r="S171" s="518"/>
      <c r="T171" s="519"/>
      <c r="U171" s="519"/>
      <c r="V171" s="669"/>
      <c r="W171" s="669"/>
      <c r="X171" s="516"/>
      <c r="Y171" s="516"/>
      <c r="Z171" s="520"/>
      <c r="AA171" s="520"/>
      <c r="AB171" s="513"/>
      <c r="AC171" s="845"/>
      <c r="AD171" s="850"/>
      <c r="AE171" s="850"/>
      <c r="AH171" s="321"/>
      <c r="AI171" s="321"/>
      <c r="AJ171" s="321"/>
      <c r="AK171" s="321"/>
      <c r="AL171" s="321"/>
      <c r="AM171" s="321"/>
      <c r="AN171" s="321"/>
      <c r="AO171" s="321"/>
      <c r="AP171" s="15"/>
      <c r="AQ171" s="15"/>
      <c r="AR171" s="15"/>
      <c r="AS171" s="15"/>
    </row>
    <row r="172" spans="1:45">
      <c r="A172" s="477" t="s">
        <v>201</v>
      </c>
      <c r="B172" s="623"/>
      <c r="C172" s="623"/>
      <c r="D172" s="623"/>
      <c r="E172" s="623"/>
      <c r="F172" s="623"/>
      <c r="G172" s="623"/>
      <c r="H172" s="623"/>
      <c r="I172" s="623"/>
      <c r="J172" s="725"/>
      <c r="K172" s="725"/>
      <c r="L172" s="725"/>
      <c r="M172" s="725"/>
      <c r="N172" s="725"/>
      <c r="O172" s="725"/>
      <c r="P172" s="725"/>
      <c r="Q172" s="725"/>
      <c r="R172" s="518"/>
      <c r="S172" s="518"/>
      <c r="T172" s="519"/>
      <c r="U172" s="519"/>
      <c r="V172" s="669"/>
      <c r="W172" s="669"/>
      <c r="X172" s="516"/>
      <c r="Y172" s="516"/>
      <c r="Z172" s="520"/>
      <c r="AA172" s="520"/>
      <c r="AB172" s="513"/>
      <c r="AC172" s="845"/>
      <c r="AD172" s="850"/>
      <c r="AE172" s="850"/>
      <c r="AH172" s="321"/>
      <c r="AI172" s="321"/>
      <c r="AJ172" s="321"/>
      <c r="AK172" s="321"/>
      <c r="AL172" s="321"/>
      <c r="AM172" s="321"/>
      <c r="AN172" s="321"/>
      <c r="AO172" s="321"/>
      <c r="AP172" s="15"/>
      <c r="AQ172" s="15"/>
      <c r="AR172" s="15"/>
      <c r="AS172" s="15"/>
    </row>
    <row r="173" spans="1:45">
      <c r="A173" s="491" t="s">
        <v>221</v>
      </c>
      <c r="B173" s="623"/>
      <c r="C173" s="623"/>
      <c r="D173" s="623"/>
      <c r="E173" s="623"/>
      <c r="F173" s="623"/>
      <c r="G173" s="623"/>
      <c r="H173" s="623"/>
      <c r="I173" s="522"/>
      <c r="J173" s="725"/>
      <c r="K173" s="725"/>
      <c r="L173" s="725"/>
      <c r="M173" s="725"/>
      <c r="N173" s="725"/>
      <c r="O173" s="725"/>
      <c r="P173" s="725"/>
      <c r="Q173" s="725"/>
      <c r="R173" s="518"/>
      <c r="S173" s="518"/>
      <c r="T173" s="519"/>
      <c r="U173" s="519"/>
      <c r="V173" s="669">
        <f>H173</f>
        <v>0</v>
      </c>
      <c r="W173" s="669">
        <f>I173</f>
        <v>0</v>
      </c>
      <c r="X173" s="516"/>
      <c r="Y173" s="516"/>
      <c r="Z173" s="520"/>
      <c r="AA173" s="520"/>
      <c r="AB173" s="513"/>
      <c r="AC173" s="845"/>
      <c r="AD173" s="850"/>
      <c r="AE173" s="850"/>
      <c r="AH173" s="321"/>
      <c r="AI173" s="321"/>
      <c r="AJ173" s="321"/>
      <c r="AK173" s="321"/>
      <c r="AL173" s="321"/>
      <c r="AM173" s="321"/>
      <c r="AN173" s="321"/>
      <c r="AO173" s="321"/>
      <c r="AP173" s="15"/>
      <c r="AQ173" s="15"/>
      <c r="AR173" s="15"/>
      <c r="AS173" s="15"/>
    </row>
    <row r="174" spans="1:45">
      <c r="A174" s="464" t="s">
        <v>200</v>
      </c>
      <c r="B174" s="481"/>
      <c r="C174" s="481"/>
      <c r="D174" s="481"/>
      <c r="E174" s="481"/>
      <c r="F174" s="481"/>
      <c r="G174" s="481"/>
      <c r="H174" s="481"/>
      <c r="I174" s="481"/>
      <c r="J174" s="723"/>
      <c r="K174" s="725"/>
      <c r="L174" s="725"/>
      <c r="M174" s="725"/>
      <c r="N174" s="725"/>
      <c r="O174" s="725"/>
      <c r="P174" s="725"/>
      <c r="Q174" s="725"/>
      <c r="R174" s="518"/>
      <c r="S174" s="518"/>
      <c r="T174" s="519"/>
      <c r="U174" s="519"/>
      <c r="V174" s="669"/>
      <c r="W174" s="669"/>
      <c r="X174" s="516"/>
      <c r="Y174" s="516"/>
      <c r="Z174" s="520"/>
      <c r="AA174" s="520"/>
      <c r="AB174" s="513"/>
      <c r="AC174" s="845"/>
      <c r="AD174" s="850"/>
      <c r="AE174" s="850"/>
      <c r="AH174" s="321"/>
      <c r="AI174" s="321"/>
      <c r="AJ174" s="321"/>
      <c r="AK174" s="321"/>
      <c r="AL174" s="321"/>
      <c r="AM174" s="321"/>
      <c r="AN174" s="321"/>
      <c r="AO174" s="321"/>
      <c r="AP174" s="15"/>
      <c r="AQ174" s="15"/>
      <c r="AR174" s="15"/>
      <c r="AS174" s="15"/>
    </row>
    <row r="175" spans="1:45">
      <c r="A175" s="577" t="s">
        <v>192</v>
      </c>
      <c r="B175" s="578"/>
      <c r="C175" s="578"/>
      <c r="D175" s="578"/>
      <c r="E175" s="578"/>
      <c r="F175" s="578"/>
      <c r="G175" s="578"/>
      <c r="H175" s="578"/>
      <c r="I175" s="578"/>
      <c r="J175" s="578"/>
      <c r="K175" s="578"/>
      <c r="L175" s="578"/>
      <c r="M175" s="578"/>
      <c r="N175" s="578"/>
      <c r="O175" s="578"/>
      <c r="P175" s="578"/>
      <c r="Q175" s="578"/>
      <c r="R175" s="578"/>
      <c r="S175" s="578"/>
      <c r="T175" s="578"/>
      <c r="U175" s="578"/>
      <c r="V175" s="578"/>
      <c r="W175" s="578"/>
      <c r="X175" s="578"/>
      <c r="Y175" s="578"/>
      <c r="Z175" s="578"/>
      <c r="AA175" s="578"/>
      <c r="AB175" s="578"/>
      <c r="AC175" s="846"/>
      <c r="AD175" s="829"/>
      <c r="AE175" s="829"/>
      <c r="AH175" s="321"/>
      <c r="AI175" s="321"/>
      <c r="AJ175" s="321"/>
      <c r="AK175" s="321"/>
      <c r="AL175" s="321"/>
      <c r="AM175" s="321"/>
      <c r="AN175" s="321"/>
      <c r="AO175" s="321"/>
      <c r="AP175" s="15"/>
      <c r="AQ175" s="15"/>
      <c r="AR175" s="15"/>
      <c r="AS175" s="15"/>
    </row>
    <row r="176" spans="1:45">
      <c r="A176" s="477" t="s">
        <v>193</v>
      </c>
      <c r="B176" s="623"/>
      <c r="C176" s="623"/>
      <c r="D176" s="623"/>
      <c r="E176" s="623"/>
      <c r="F176" s="623"/>
      <c r="G176" s="623"/>
      <c r="H176" s="623"/>
      <c r="I176" s="623"/>
      <c r="J176" s="725"/>
      <c r="K176" s="725"/>
      <c r="L176" s="725"/>
      <c r="M176" s="725"/>
      <c r="N176" s="725"/>
      <c r="O176" s="725"/>
      <c r="P176" s="725"/>
      <c r="Q176" s="725"/>
      <c r="R176" s="518"/>
      <c r="S176" s="518"/>
      <c r="T176" s="519"/>
      <c r="U176" s="519"/>
      <c r="V176" s="669"/>
      <c r="W176" s="669"/>
      <c r="X176" s="516"/>
      <c r="Y176" s="516"/>
      <c r="Z176" s="520"/>
      <c r="AA176" s="520"/>
      <c r="AB176" s="513"/>
      <c r="AC176" s="845"/>
      <c r="AD176" s="850"/>
      <c r="AE176" s="850"/>
      <c r="AH176" s="321"/>
      <c r="AI176" s="321"/>
      <c r="AJ176" s="321"/>
      <c r="AK176" s="321"/>
      <c r="AL176" s="321"/>
      <c r="AM176" s="321"/>
      <c r="AN176" s="321"/>
      <c r="AO176" s="321"/>
      <c r="AP176" s="15"/>
      <c r="AQ176" s="15"/>
      <c r="AR176" s="15"/>
      <c r="AS176" s="15"/>
    </row>
    <row r="177" spans="1:45">
      <c r="A177" s="477" t="s">
        <v>194</v>
      </c>
      <c r="B177" s="623"/>
      <c r="C177" s="623"/>
      <c r="D177" s="623"/>
      <c r="E177" s="623"/>
      <c r="F177" s="623"/>
      <c r="G177" s="623"/>
      <c r="H177" s="623"/>
      <c r="I177" s="464"/>
      <c r="J177" s="725"/>
      <c r="K177" s="725"/>
      <c r="L177" s="725"/>
      <c r="M177" s="725"/>
      <c r="N177" s="725"/>
      <c r="O177" s="725"/>
      <c r="P177" s="725"/>
      <c r="Q177" s="725"/>
      <c r="R177" s="518"/>
      <c r="S177" s="518"/>
      <c r="T177" s="519"/>
      <c r="U177" s="519"/>
      <c r="V177" s="669"/>
      <c r="W177" s="669"/>
      <c r="X177" s="516"/>
      <c r="Y177" s="516"/>
      <c r="Z177" s="520"/>
      <c r="AA177" s="520"/>
      <c r="AB177" s="513"/>
      <c r="AC177" s="845"/>
      <c r="AD177" s="850"/>
      <c r="AE177" s="850"/>
      <c r="AH177" s="321"/>
      <c r="AI177" s="321"/>
      <c r="AJ177" s="321"/>
      <c r="AK177" s="321"/>
      <c r="AL177" s="321"/>
      <c r="AM177" s="321"/>
      <c r="AN177" s="321"/>
      <c r="AO177" s="321"/>
      <c r="AP177" s="15"/>
      <c r="AQ177" s="15"/>
      <c r="AR177" s="15"/>
      <c r="AS177" s="15"/>
    </row>
    <row r="178" spans="1:45">
      <c r="A178" s="477" t="s">
        <v>195</v>
      </c>
      <c r="B178" s="623"/>
      <c r="C178" s="623"/>
      <c r="D178" s="623"/>
      <c r="E178" s="623"/>
      <c r="F178" s="623"/>
      <c r="G178" s="623"/>
      <c r="H178" s="623"/>
      <c r="I178" s="623"/>
      <c r="J178" s="725"/>
      <c r="K178" s="725"/>
      <c r="L178" s="725"/>
      <c r="M178" s="725"/>
      <c r="N178" s="725"/>
      <c r="O178" s="725"/>
      <c r="P178" s="725"/>
      <c r="Q178" s="725"/>
      <c r="R178" s="518"/>
      <c r="S178" s="518"/>
      <c r="T178" s="519"/>
      <c r="U178" s="519"/>
      <c r="V178" s="669"/>
      <c r="W178" s="669"/>
      <c r="X178" s="516"/>
      <c r="Y178" s="516"/>
      <c r="Z178" s="520"/>
      <c r="AA178" s="520"/>
      <c r="AB178" s="513"/>
      <c r="AC178" s="845"/>
      <c r="AD178" s="850"/>
      <c r="AE178" s="850"/>
      <c r="AH178" s="321"/>
      <c r="AI178" s="321"/>
      <c r="AJ178" s="321"/>
      <c r="AK178" s="321"/>
      <c r="AL178" s="321"/>
      <c r="AM178" s="321"/>
      <c r="AN178" s="321"/>
      <c r="AO178" s="321"/>
      <c r="AP178" s="15"/>
      <c r="AQ178" s="15"/>
      <c r="AR178" s="15"/>
      <c r="AS178" s="15"/>
    </row>
    <row r="179" spans="1:45">
      <c r="A179" s="477" t="s">
        <v>196</v>
      </c>
      <c r="B179" s="623"/>
      <c r="C179" s="623"/>
      <c r="D179" s="623"/>
      <c r="E179" s="623"/>
      <c r="F179" s="623"/>
      <c r="G179" s="623"/>
      <c r="H179" s="623"/>
      <c r="I179" s="623"/>
      <c r="J179" s="725"/>
      <c r="K179" s="725"/>
      <c r="L179" s="725"/>
      <c r="M179" s="725"/>
      <c r="N179" s="725"/>
      <c r="O179" s="725"/>
      <c r="P179" s="725"/>
      <c r="Q179" s="725"/>
      <c r="R179" s="518"/>
      <c r="S179" s="518"/>
      <c r="T179" s="519"/>
      <c r="U179" s="519"/>
      <c r="V179" s="669"/>
      <c r="W179" s="669"/>
      <c r="X179" s="516"/>
      <c r="Y179" s="516"/>
      <c r="Z179" s="520"/>
      <c r="AA179" s="520"/>
      <c r="AB179" s="513"/>
      <c r="AC179" s="845"/>
      <c r="AD179" s="850"/>
      <c r="AE179" s="850"/>
      <c r="AH179" s="321"/>
      <c r="AI179" s="321"/>
      <c r="AJ179" s="321"/>
      <c r="AK179" s="321"/>
      <c r="AL179" s="321"/>
      <c r="AM179" s="321"/>
      <c r="AN179" s="321"/>
      <c r="AO179" s="321"/>
      <c r="AP179" s="15"/>
      <c r="AQ179" s="15"/>
      <c r="AR179" s="15"/>
      <c r="AS179" s="15"/>
    </row>
    <row r="180" spans="1:45">
      <c r="A180" s="477" t="s">
        <v>197</v>
      </c>
      <c r="B180" s="623"/>
      <c r="C180" s="623"/>
      <c r="D180" s="623"/>
      <c r="E180" s="623"/>
      <c r="F180" s="623"/>
      <c r="G180" s="623"/>
      <c r="H180" s="623"/>
      <c r="I180" s="623"/>
      <c r="J180" s="725"/>
      <c r="K180" s="725"/>
      <c r="L180" s="725"/>
      <c r="M180" s="725"/>
      <c r="N180" s="725"/>
      <c r="O180" s="725"/>
      <c r="P180" s="725"/>
      <c r="Q180" s="725"/>
      <c r="R180" s="518"/>
      <c r="S180" s="518"/>
      <c r="T180" s="519"/>
      <c r="U180" s="519"/>
      <c r="V180" s="669"/>
      <c r="W180" s="669"/>
      <c r="X180" s="516"/>
      <c r="Y180" s="516"/>
      <c r="Z180" s="520"/>
      <c r="AA180" s="520"/>
      <c r="AB180" s="513"/>
      <c r="AC180" s="845"/>
      <c r="AD180" s="850"/>
      <c r="AE180" s="850"/>
      <c r="AH180" s="321"/>
      <c r="AI180" s="321"/>
      <c r="AJ180" s="321"/>
      <c r="AK180" s="321"/>
      <c r="AL180" s="321"/>
      <c r="AM180" s="321"/>
      <c r="AN180" s="321"/>
      <c r="AO180" s="321"/>
      <c r="AP180" s="15"/>
      <c r="AQ180" s="15"/>
      <c r="AR180" s="15"/>
      <c r="AS180" s="15"/>
    </row>
    <row r="181" spans="1:45" ht="12.75" thickBot="1">
      <c r="A181" s="671" t="s">
        <v>198</v>
      </c>
      <c r="B181" s="623"/>
      <c r="C181" s="623"/>
      <c r="D181" s="623"/>
      <c r="E181" s="623"/>
      <c r="F181" s="672"/>
      <c r="G181" s="672"/>
      <c r="H181" s="672"/>
      <c r="I181" s="672"/>
      <c r="J181" s="723"/>
      <c r="K181" s="780"/>
      <c r="L181" s="723"/>
      <c r="M181" s="780"/>
      <c r="N181" s="780"/>
      <c r="O181" s="780"/>
      <c r="P181" s="780"/>
      <c r="Q181" s="780"/>
      <c r="R181" s="673"/>
      <c r="S181" s="673"/>
      <c r="T181" s="659"/>
      <c r="U181" s="659"/>
      <c r="V181" s="674"/>
      <c r="W181" s="674"/>
      <c r="X181" s="675"/>
      <c r="Y181" s="675"/>
      <c r="Z181" s="676"/>
      <c r="AA181" s="676"/>
      <c r="AB181" s="677"/>
      <c r="AC181" s="847"/>
      <c r="AD181" s="850"/>
      <c r="AE181" s="850"/>
      <c r="AH181" s="321"/>
      <c r="AI181" s="321"/>
      <c r="AJ181" s="321"/>
      <c r="AK181" s="321"/>
      <c r="AL181" s="321"/>
      <c r="AM181" s="321"/>
      <c r="AN181" s="321"/>
      <c r="AO181" s="321"/>
      <c r="AP181" s="15"/>
      <c r="AQ181" s="15"/>
      <c r="AR181" s="15"/>
      <c r="AS181" s="15"/>
    </row>
    <row r="182" spans="1:45" ht="12.75" thickBot="1">
      <c r="A182" s="679"/>
      <c r="B182" s="481">
        <f t="shared" ref="B182:G182" si="3">SUM(B99:B181)</f>
        <v>3600</v>
      </c>
      <c r="C182" s="481">
        <f t="shared" si="3"/>
        <v>-2561.6899999999996</v>
      </c>
      <c r="D182" s="481">
        <f t="shared" si="3"/>
        <v>0</v>
      </c>
      <c r="E182" s="481">
        <f t="shared" si="3"/>
        <v>0</v>
      </c>
      <c r="F182" s="481">
        <f t="shared" si="3"/>
        <v>0</v>
      </c>
      <c r="G182" s="481">
        <f t="shared" si="3"/>
        <v>0</v>
      </c>
      <c r="H182" s="481"/>
      <c r="I182" s="481"/>
      <c r="J182" s="724"/>
      <c r="K182" s="724"/>
      <c r="L182" s="724"/>
      <c r="M182" s="724"/>
      <c r="N182" s="724"/>
      <c r="O182" s="724"/>
      <c r="P182" s="724"/>
      <c r="Q182" s="724"/>
      <c r="R182" s="481">
        <f t="shared" ref="R182:AC182" si="4">SUM(R99:R181)</f>
        <v>0</v>
      </c>
      <c r="S182" s="481">
        <f t="shared" si="4"/>
        <v>0</v>
      </c>
      <c r="T182" s="481">
        <f t="shared" si="4"/>
        <v>3600</v>
      </c>
      <c r="U182" s="481">
        <f t="shared" si="4"/>
        <v>-2561.6899999999996</v>
      </c>
      <c r="V182" s="481">
        <f t="shared" si="4"/>
        <v>0</v>
      </c>
      <c r="W182" s="481">
        <f t="shared" si="4"/>
        <v>0</v>
      </c>
      <c r="X182" s="481">
        <f t="shared" si="4"/>
        <v>0</v>
      </c>
      <c r="Y182" s="481">
        <f t="shared" si="4"/>
        <v>0</v>
      </c>
      <c r="Z182" s="481">
        <f t="shared" si="4"/>
        <v>0</v>
      </c>
      <c r="AA182" s="481">
        <f t="shared" si="4"/>
        <v>0</v>
      </c>
      <c r="AB182" s="481">
        <f t="shared" si="4"/>
        <v>0</v>
      </c>
      <c r="AC182" s="848">
        <f t="shared" si="4"/>
        <v>0</v>
      </c>
      <c r="AD182" s="832"/>
      <c r="AE182" s="832"/>
      <c r="AH182" s="321"/>
      <c r="AI182" s="321"/>
      <c r="AJ182" s="321"/>
      <c r="AK182" s="321"/>
      <c r="AL182" s="321"/>
      <c r="AM182" s="321"/>
      <c r="AN182" s="321"/>
      <c r="AO182" s="321"/>
      <c r="AP182" s="15"/>
      <c r="AQ182" s="15"/>
      <c r="AR182" s="15"/>
      <c r="AS182" s="15"/>
    </row>
    <row r="183" spans="1:45" ht="12.75" thickBot="1">
      <c r="A183" s="679" t="s">
        <v>27</v>
      </c>
      <c r="B183" s="678">
        <f>B182+B90</f>
        <v>232180.21999999997</v>
      </c>
      <c r="C183" s="678"/>
      <c r="D183" s="678"/>
      <c r="E183" s="678"/>
      <c r="F183" s="678"/>
      <c r="G183" s="678"/>
      <c r="H183" s="678"/>
      <c r="I183" s="678"/>
      <c r="J183" s="839"/>
      <c r="K183" s="839"/>
      <c r="L183" s="839"/>
      <c r="M183" s="839"/>
      <c r="N183" s="839"/>
      <c r="O183" s="839"/>
      <c r="P183" s="839"/>
      <c r="Q183" s="839"/>
      <c r="R183" s="678">
        <f t="shared" ref="R183:AC183" si="5">R182+R90</f>
        <v>39638</v>
      </c>
      <c r="S183" s="678">
        <f t="shared" si="5"/>
        <v>-22431.219999999998</v>
      </c>
      <c r="T183" s="678">
        <f t="shared" si="5"/>
        <v>36706.550000000003</v>
      </c>
      <c r="U183" s="678">
        <f t="shared" si="5"/>
        <v>-23865.25</v>
      </c>
      <c r="V183" s="678">
        <f t="shared" si="5"/>
        <v>7016.79</v>
      </c>
      <c r="W183" s="678">
        <f t="shared" si="5"/>
        <v>-6119.0300000000007</v>
      </c>
      <c r="X183" s="678">
        <f t="shared" si="5"/>
        <v>11500</v>
      </c>
      <c r="Y183" s="678">
        <f t="shared" si="5"/>
        <v>-6260.5700000000006</v>
      </c>
      <c r="Z183" s="678">
        <f t="shared" si="5"/>
        <v>151221.21999999997</v>
      </c>
      <c r="AA183" s="678">
        <f t="shared" si="5"/>
        <v>-103867.41000000002</v>
      </c>
      <c r="AB183" s="678">
        <f t="shared" si="5"/>
        <v>1500</v>
      </c>
      <c r="AC183" s="849">
        <f t="shared" si="5"/>
        <v>-1478.09</v>
      </c>
      <c r="AD183" s="832"/>
      <c r="AE183" s="832"/>
      <c r="AH183" s="321"/>
      <c r="AI183" s="321"/>
      <c r="AJ183" s="321"/>
      <c r="AK183" s="321"/>
      <c r="AL183" s="321"/>
      <c r="AM183" s="321"/>
      <c r="AN183" s="321"/>
      <c r="AO183" s="321"/>
      <c r="AP183" s="15"/>
      <c r="AQ183" s="15"/>
      <c r="AR183" s="15"/>
      <c r="AS183" s="15"/>
    </row>
    <row r="184" spans="1:45">
      <c r="Y184" s="352"/>
      <c r="AD184" s="831"/>
      <c r="AE184" s="831"/>
    </row>
    <row r="185" spans="1:45">
      <c r="R185" s="347"/>
      <c r="S185" s="347"/>
      <c r="T185" s="346"/>
      <c r="U185" s="352"/>
    </row>
    <row r="186" spans="1:45">
      <c r="U186" s="352"/>
    </row>
    <row r="188" spans="1:45">
      <c r="T188" s="352"/>
    </row>
    <row r="194" spans="16:18">
      <c r="P194" s="347">
        <f>R183+T183+V183+X183+Z183+AB183+AD183</f>
        <v>247582.55999999997</v>
      </c>
      <c r="Q194" s="347"/>
      <c r="R194" s="347">
        <f>S183+U183+W183+Y183+AA183+AC183+AE183</f>
        <v>-164021.57</v>
      </c>
    </row>
    <row r="195" spans="16:18">
      <c r="P195" s="347">
        <f>P182+L182+J182+H182+B182+B90+D90+F90+H90+J90+L90+N90</f>
        <v>247582.55999999997</v>
      </c>
      <c r="Q195" s="347"/>
      <c r="R195" s="347">
        <f>Q182+M182+K182+I182+C182+C90+E90+G90+I90+K90+M90+O90</f>
        <v>-164021.57000000004</v>
      </c>
    </row>
    <row r="196" spans="16:18">
      <c r="P196" s="347">
        <f>P194-P195</f>
        <v>0</v>
      </c>
      <c r="Q196" s="347"/>
      <c r="R196" s="347">
        <f>R194-R195</f>
        <v>0</v>
      </c>
    </row>
    <row r="197" spans="16:18">
      <c r="P197" s="347"/>
      <c r="Q197" s="347"/>
      <c r="R197" s="347"/>
    </row>
    <row r="198" spans="16:18">
      <c r="P198" s="347"/>
      <c r="Q198" s="347"/>
      <c r="R198" s="347"/>
    </row>
  </sheetData>
  <mergeCells count="88">
    <mergeCell ref="AD96:AE96"/>
    <mergeCell ref="AD97:AD98"/>
    <mergeCell ref="AE97:AE98"/>
    <mergeCell ref="N1:O1"/>
    <mergeCell ref="N2:N3"/>
    <mergeCell ref="O2:O3"/>
    <mergeCell ref="N96:O96"/>
    <mergeCell ref="N97:N98"/>
    <mergeCell ref="O97:O98"/>
    <mergeCell ref="AB1:AC1"/>
    <mergeCell ref="Z1:AA1"/>
    <mergeCell ref="AC97:AC98"/>
    <mergeCell ref="T97:T98"/>
    <mergeCell ref="U97:U98"/>
    <mergeCell ref="V97:V98"/>
    <mergeCell ref="W97:W98"/>
    <mergeCell ref="B1:C1"/>
    <mergeCell ref="X1:Y1"/>
    <mergeCell ref="T1:U1"/>
    <mergeCell ref="R1:S1"/>
    <mergeCell ref="H96:I96"/>
    <mergeCell ref="J1:K1"/>
    <mergeCell ref="P1:Q1"/>
    <mergeCell ref="V1:W1"/>
    <mergeCell ref="D1:E1"/>
    <mergeCell ref="H1:I1"/>
    <mergeCell ref="F1:G1"/>
    <mergeCell ref="B96:E96"/>
    <mergeCell ref="L1:M1"/>
    <mergeCell ref="F96:G96"/>
    <mergeCell ref="H2:H3"/>
    <mergeCell ref="I2:I3"/>
    <mergeCell ref="Z2:Z3"/>
    <mergeCell ref="AA2:AA3"/>
    <mergeCell ref="T2:T3"/>
    <mergeCell ref="L2:L3"/>
    <mergeCell ref="M2:M3"/>
    <mergeCell ref="A2:A3"/>
    <mergeCell ref="R2:R3"/>
    <mergeCell ref="S2:S3"/>
    <mergeCell ref="B2:B3"/>
    <mergeCell ref="C2:C3"/>
    <mergeCell ref="D2:D3"/>
    <mergeCell ref="E2:E3"/>
    <mergeCell ref="J2:J3"/>
    <mergeCell ref="F2:F3"/>
    <mergeCell ref="G2:G3"/>
    <mergeCell ref="P2:P3"/>
    <mergeCell ref="Q2:Q3"/>
    <mergeCell ref="K2:K3"/>
    <mergeCell ref="A97:A98"/>
    <mergeCell ref="R97:R98"/>
    <mergeCell ref="Z97:Z98"/>
    <mergeCell ref="B97:B98"/>
    <mergeCell ref="C97:C98"/>
    <mergeCell ref="F97:F98"/>
    <mergeCell ref="D97:D98"/>
    <mergeCell ref="E97:E98"/>
    <mergeCell ref="M97:M98"/>
    <mergeCell ref="AA97:AA98"/>
    <mergeCell ref="AB97:AB98"/>
    <mergeCell ref="G97:G98"/>
    <mergeCell ref="J97:J98"/>
    <mergeCell ref="K97:K98"/>
    <mergeCell ref="L97:L98"/>
    <mergeCell ref="I97:I98"/>
    <mergeCell ref="H97:H98"/>
    <mergeCell ref="P97:P98"/>
    <mergeCell ref="Q97:Q98"/>
    <mergeCell ref="S97:S98"/>
    <mergeCell ref="X97:X98"/>
    <mergeCell ref="Y97:Y98"/>
    <mergeCell ref="AB96:AC96"/>
    <mergeCell ref="J96:K96"/>
    <mergeCell ref="R96:S96"/>
    <mergeCell ref="T96:U96"/>
    <mergeCell ref="V2:V3"/>
    <mergeCell ref="W2:W3"/>
    <mergeCell ref="V96:W96"/>
    <mergeCell ref="L96:M96"/>
    <mergeCell ref="P96:Q96"/>
    <mergeCell ref="X96:Y96"/>
    <mergeCell ref="Z96:AA96"/>
    <mergeCell ref="AB2:AB3"/>
    <mergeCell ref="AC2:AC3"/>
    <mergeCell ref="U2:U3"/>
    <mergeCell ref="X2:X3"/>
    <mergeCell ref="Y2:Y3"/>
  </mergeCells>
  <printOptions gridLines="1"/>
  <pageMargins left="0.25" right="0.25" top="0.75" bottom="0.75" header="0.3" footer="0.3"/>
  <pageSetup paperSize="17" scale="51" fitToHeight="2" orientation="landscape" r:id="rId1"/>
  <headerFooter>
    <oddHeader xml:space="preserve">&amp;L&amp;8 4/2/19&amp;CAVP Health Projections 
 2019 &amp; 2020
</oddHeader>
    <oddFooter>&amp;L&amp;A&amp;C&amp;BUSF Health Confidential&amp;B&amp;RPage &amp;P</oddFooter>
  </headerFooter>
  <rowBreaks count="1" manualBreakCount="1">
    <brk id="93" max="16383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W90"/>
  <sheetViews>
    <sheetView zoomScale="90" zoomScaleNormal="90" zoomScalePage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10.7109375" defaultRowHeight="12"/>
  <cols>
    <col min="1" max="1" width="27.140625" style="316" bestFit="1" customWidth="1"/>
    <col min="2" max="2" width="8.5703125" style="347" bestFit="1" customWidth="1"/>
    <col min="3" max="4" width="9.7109375" style="347" bestFit="1" customWidth="1"/>
    <col min="5" max="5" width="10.42578125" style="347" bestFit="1" customWidth="1"/>
    <col min="6" max="6" width="9.7109375" style="347" bestFit="1" customWidth="1"/>
    <col min="7" max="7" width="8.140625" style="347" bestFit="1" customWidth="1"/>
    <col min="8" max="8" width="9.140625" style="347" bestFit="1" customWidth="1"/>
    <col min="9" max="9" width="9.7109375" style="347" bestFit="1" customWidth="1"/>
    <col min="10" max="12" width="8.28515625" style="347" bestFit="1" customWidth="1"/>
    <col min="13" max="13" width="7.140625" style="347" bestFit="1" customWidth="1"/>
    <col min="14" max="14" width="8.28515625" style="347" bestFit="1" customWidth="1"/>
    <col min="15" max="15" width="7.140625" style="347" bestFit="1" customWidth="1"/>
    <col min="16" max="17" width="8.28515625" style="347" bestFit="1" customWidth="1"/>
    <col min="18" max="18" width="8.85546875" style="517" bestFit="1" customWidth="1"/>
    <col min="19" max="19" width="9.42578125" style="517" bestFit="1" customWidth="1"/>
    <col min="20" max="20" width="8.5703125" style="517" bestFit="1" customWidth="1"/>
    <col min="21" max="21" width="8.28515625" style="713" bestFit="1" customWidth="1"/>
    <col min="22" max="22" width="11.28515625" style="713" customWidth="1"/>
    <col min="23" max="23" width="9.5703125" style="713" bestFit="1" customWidth="1"/>
    <col min="24" max="27" width="10.7109375" style="316"/>
    <col min="28" max="28" width="11.140625" style="316" bestFit="1" customWidth="1"/>
    <col min="29" max="16384" width="10.7109375" style="316"/>
  </cols>
  <sheetData>
    <row r="1" spans="1:23" s="714" customFormat="1" ht="31.9" customHeight="1">
      <c r="A1" s="726"/>
      <c r="B1" s="924" t="s">
        <v>286</v>
      </c>
      <c r="C1" s="925"/>
      <c r="D1" s="925"/>
      <c r="E1" s="925"/>
      <c r="F1" s="925"/>
      <c r="G1" s="925"/>
      <c r="H1" s="926" t="s">
        <v>135</v>
      </c>
      <c r="I1" s="927"/>
      <c r="J1" s="924" t="s">
        <v>250</v>
      </c>
      <c r="K1" s="925"/>
      <c r="L1" s="914" t="s">
        <v>269</v>
      </c>
      <c r="M1" s="915"/>
      <c r="N1" s="930" t="s">
        <v>276</v>
      </c>
      <c r="O1" s="931"/>
      <c r="P1" s="776"/>
      <c r="Q1" s="776"/>
      <c r="R1" s="932" t="s">
        <v>222</v>
      </c>
      <c r="S1" s="933"/>
      <c r="T1" s="928" t="s">
        <v>100</v>
      </c>
      <c r="U1" s="929"/>
      <c r="V1" s="922" t="s">
        <v>98</v>
      </c>
      <c r="W1" s="923"/>
    </row>
    <row r="2" spans="1:23" s="715" customFormat="1" ht="24">
      <c r="A2" s="490"/>
      <c r="B2" s="366" t="s">
        <v>4</v>
      </c>
      <c r="C2" s="370" t="s">
        <v>287</v>
      </c>
      <c r="D2" s="370" t="s">
        <v>292</v>
      </c>
      <c r="E2" s="370" t="s">
        <v>257</v>
      </c>
      <c r="F2" s="370" t="s">
        <v>291</v>
      </c>
      <c r="G2" s="370" t="s">
        <v>266</v>
      </c>
      <c r="H2" s="366" t="s">
        <v>4</v>
      </c>
      <c r="I2" s="366" t="s">
        <v>94</v>
      </c>
      <c r="J2" s="366" t="s">
        <v>4</v>
      </c>
      <c r="K2" s="366" t="s">
        <v>94</v>
      </c>
      <c r="L2" s="366" t="s">
        <v>4</v>
      </c>
      <c r="M2" s="366" t="s">
        <v>94</v>
      </c>
      <c r="N2" s="366" t="s">
        <v>4</v>
      </c>
      <c r="O2" s="366" t="s">
        <v>94</v>
      </c>
      <c r="P2" s="366"/>
      <c r="Q2" s="366"/>
      <c r="R2" s="562" t="s">
        <v>4</v>
      </c>
      <c r="S2" s="562" t="s">
        <v>94</v>
      </c>
      <c r="T2" s="387" t="s">
        <v>4</v>
      </c>
      <c r="U2" s="390" t="s">
        <v>94</v>
      </c>
      <c r="V2" s="461" t="s">
        <v>112</v>
      </c>
      <c r="W2" s="461" t="s">
        <v>94</v>
      </c>
    </row>
    <row r="3" spans="1:23" s="35" customFormat="1">
      <c r="A3" s="717" t="s">
        <v>146</v>
      </c>
      <c r="B3" s="718"/>
      <c r="C3" s="718"/>
      <c r="D3" s="718"/>
      <c r="E3" s="718"/>
      <c r="F3" s="718"/>
      <c r="G3" s="718"/>
      <c r="H3" s="718"/>
      <c r="I3" s="718"/>
      <c r="J3" s="487"/>
      <c r="K3" s="487"/>
      <c r="L3" s="488"/>
      <c r="M3" s="488"/>
      <c r="N3" s="488"/>
      <c r="O3" s="488"/>
      <c r="P3" s="488"/>
      <c r="Q3" s="488"/>
      <c r="R3" s="488"/>
      <c r="S3" s="488"/>
      <c r="T3" s="537"/>
      <c r="U3" s="524"/>
      <c r="V3" s="524"/>
      <c r="W3" s="525"/>
    </row>
    <row r="4" spans="1:23" s="35" customFormat="1">
      <c r="A4" s="477" t="s">
        <v>154</v>
      </c>
      <c r="B4" s="328"/>
      <c r="C4" s="328"/>
      <c r="D4" s="328"/>
      <c r="E4" s="328"/>
      <c r="F4" s="328"/>
      <c r="G4" s="328"/>
      <c r="H4" s="328"/>
      <c r="I4" s="328"/>
      <c r="J4" s="349">
        <v>1200</v>
      </c>
      <c r="K4" s="328">
        <f>-127.33-32.71-100.63-142.93-100.13-26.44-22.61-18.3</f>
        <v>-571.07999999999993</v>
      </c>
      <c r="L4" s="349">
        <v>150</v>
      </c>
      <c r="M4" s="328">
        <f>-11.13-20.69-8.59-7.11-11.66</f>
        <v>-59.179999999999993</v>
      </c>
      <c r="N4" s="625">
        <v>500</v>
      </c>
      <c r="O4" s="328">
        <f>-29.46-93.14-25.72-22.29-19.58-26.57-32.77</f>
        <v>-249.53</v>
      </c>
      <c r="P4" s="774"/>
      <c r="Q4" s="774"/>
      <c r="R4" s="573"/>
      <c r="S4" s="573"/>
      <c r="T4" s="627">
        <f>L4+J4</f>
        <v>1350</v>
      </c>
      <c r="U4" s="627">
        <f>M4+K4</f>
        <v>-630.25999999999988</v>
      </c>
      <c r="V4" s="625">
        <f>N4</f>
        <v>500</v>
      </c>
      <c r="W4" s="625">
        <f>O4</f>
        <v>-249.53</v>
      </c>
    </row>
    <row r="5" spans="1:23" s="35" customFormat="1">
      <c r="A5" s="477" t="s">
        <v>140</v>
      </c>
      <c r="B5" s="328"/>
      <c r="C5" s="328"/>
      <c r="D5" s="328"/>
      <c r="E5" s="328"/>
      <c r="F5" s="328"/>
      <c r="G5" s="328"/>
      <c r="H5" s="328"/>
      <c r="I5" s="328"/>
      <c r="J5" s="349">
        <v>500</v>
      </c>
      <c r="K5" s="328"/>
      <c r="L5" s="349">
        <v>300</v>
      </c>
      <c r="M5" s="328">
        <v>-153.97999999999999</v>
      </c>
      <c r="N5" s="625">
        <v>300</v>
      </c>
      <c r="O5" s="328"/>
      <c r="P5" s="774"/>
      <c r="Q5" s="774"/>
      <c r="R5" s="573"/>
      <c r="S5" s="573"/>
      <c r="T5" s="627">
        <f>L5+J5</f>
        <v>800</v>
      </c>
      <c r="U5" s="627">
        <f>O5+M5+K5</f>
        <v>-153.97999999999999</v>
      </c>
      <c r="V5" s="625">
        <f>N5</f>
        <v>300</v>
      </c>
      <c r="W5" s="625"/>
    </row>
    <row r="6" spans="1:23" s="35" customFormat="1">
      <c r="A6" s="477" t="s">
        <v>139</v>
      </c>
      <c r="B6" s="328"/>
      <c r="C6" s="328"/>
      <c r="D6" s="328"/>
      <c r="E6" s="328"/>
      <c r="F6" s="328"/>
      <c r="G6" s="328"/>
      <c r="H6" s="328"/>
      <c r="I6" s="328"/>
      <c r="J6" s="349">
        <v>250</v>
      </c>
      <c r="K6" s="328"/>
      <c r="L6" s="349"/>
      <c r="M6" s="328"/>
      <c r="N6" s="625">
        <v>1000</v>
      </c>
      <c r="O6" s="328"/>
      <c r="P6" s="774"/>
      <c r="Q6" s="774"/>
      <c r="R6" s="573"/>
      <c r="S6" s="573"/>
      <c r="T6" s="627">
        <f>L6+J6</f>
        <v>250</v>
      </c>
      <c r="U6" s="627">
        <f t="shared" ref="U6:U8" si="0">O6+M6+K6</f>
        <v>0</v>
      </c>
      <c r="V6" s="625">
        <f>N6</f>
        <v>1000</v>
      </c>
      <c r="W6" s="625"/>
    </row>
    <row r="7" spans="1:23" s="35" customFormat="1">
      <c r="A7" s="477" t="s">
        <v>138</v>
      </c>
      <c r="B7" s="328"/>
      <c r="C7" s="328"/>
      <c r="D7" s="328"/>
      <c r="E7" s="328"/>
      <c r="F7" s="328"/>
      <c r="G7" s="328"/>
      <c r="H7" s="328"/>
      <c r="I7" s="328"/>
      <c r="J7" s="349"/>
      <c r="K7" s="328"/>
      <c r="L7" s="349"/>
      <c r="M7" s="328"/>
      <c r="N7" s="625"/>
      <c r="O7" s="328"/>
      <c r="P7" s="774"/>
      <c r="Q7" s="774"/>
      <c r="R7" s="573"/>
      <c r="S7" s="573"/>
      <c r="T7" s="627">
        <f>L7+J7</f>
        <v>0</v>
      </c>
      <c r="U7" s="627">
        <f t="shared" si="0"/>
        <v>0</v>
      </c>
      <c r="V7" s="625">
        <f>N7</f>
        <v>0</v>
      </c>
      <c r="W7" s="625"/>
    </row>
    <row r="8" spans="1:23" s="35" customFormat="1">
      <c r="A8" s="477" t="s">
        <v>141</v>
      </c>
      <c r="B8" s="328"/>
      <c r="C8" s="328"/>
      <c r="D8" s="328"/>
      <c r="E8" s="328"/>
      <c r="F8" s="328"/>
      <c r="G8" s="328"/>
      <c r="H8" s="328"/>
      <c r="I8" s="328"/>
      <c r="J8" s="349"/>
      <c r="K8" s="328"/>
      <c r="L8" s="349"/>
      <c r="M8" s="328"/>
      <c r="N8" s="625">
        <v>320</v>
      </c>
      <c r="O8" s="328"/>
      <c r="P8" s="774"/>
      <c r="Q8" s="774"/>
      <c r="R8" s="573"/>
      <c r="S8" s="573"/>
      <c r="T8" s="627">
        <f>L8+J8</f>
        <v>0</v>
      </c>
      <c r="U8" s="627">
        <f t="shared" si="0"/>
        <v>0</v>
      </c>
      <c r="V8" s="625">
        <f>N8</f>
        <v>320</v>
      </c>
      <c r="W8" s="625"/>
    </row>
    <row r="9" spans="1:23" s="35" customFormat="1">
      <c r="A9" s="477" t="s">
        <v>9</v>
      </c>
      <c r="B9" s="625">
        <f>9000+13300</f>
        <v>22300</v>
      </c>
      <c r="C9" s="399">
        <f>-5111.1-250-250-250-3328.4-4140.56-325</f>
        <v>-13655.060000000001</v>
      </c>
      <c r="D9" s="328"/>
      <c r="E9" s="399"/>
      <c r="F9" s="328"/>
      <c r="G9" s="328"/>
      <c r="H9" s="328"/>
      <c r="I9" s="328"/>
      <c r="J9" s="328"/>
      <c r="K9" s="328"/>
      <c r="L9" s="328"/>
      <c r="M9" s="328"/>
      <c r="N9" s="328"/>
      <c r="O9" s="328"/>
      <c r="P9" s="774"/>
      <c r="Q9" s="774"/>
      <c r="R9" s="573"/>
      <c r="S9" s="573"/>
      <c r="T9" s="627"/>
      <c r="U9" s="627"/>
      <c r="V9" s="625">
        <f>B9</f>
        <v>22300</v>
      </c>
      <c r="W9" s="625">
        <f>C9</f>
        <v>-13655.060000000001</v>
      </c>
    </row>
    <row r="10" spans="1:23" s="35" customFormat="1">
      <c r="A10" s="477" t="s">
        <v>9</v>
      </c>
      <c r="B10" s="643"/>
      <c r="C10" s="328"/>
      <c r="D10" s="328"/>
      <c r="E10" s="328"/>
      <c r="F10" s="328"/>
      <c r="G10" s="328"/>
      <c r="H10" s="328"/>
      <c r="I10" s="328"/>
      <c r="J10" s="349">
        <v>900</v>
      </c>
      <c r="K10" s="328">
        <f>-16.02-44.89-55.91-41.06-9.23-9.76-10.31-38.33-25.88-35.35-10.53-81.24</f>
        <v>-378.51</v>
      </c>
      <c r="L10" s="349">
        <v>250</v>
      </c>
      <c r="M10" s="328">
        <v>-12</v>
      </c>
      <c r="N10" s="625">
        <v>500</v>
      </c>
      <c r="O10" s="328">
        <f>-8.35-116.05-30.98</f>
        <v>-155.38</v>
      </c>
      <c r="P10" s="774"/>
      <c r="Q10" s="774"/>
      <c r="R10" s="573"/>
      <c r="S10" s="573"/>
      <c r="T10" s="593">
        <f>L10+J10</f>
        <v>1150</v>
      </c>
      <c r="U10" s="593">
        <f>+M10+K10</f>
        <v>-390.51</v>
      </c>
      <c r="V10" s="625">
        <f>N10</f>
        <v>500</v>
      </c>
      <c r="W10" s="625">
        <f>O10</f>
        <v>-155.38</v>
      </c>
    </row>
    <row r="11" spans="1:23" s="35" customFormat="1">
      <c r="A11" s="477" t="s">
        <v>215</v>
      </c>
      <c r="B11" s="813">
        <v>435</v>
      </c>
      <c r="C11" s="811">
        <v>-435</v>
      </c>
      <c r="D11" s="811"/>
      <c r="E11" s="811"/>
      <c r="F11" s="811"/>
      <c r="G11" s="811"/>
      <c r="H11" s="811"/>
      <c r="I11" s="811"/>
      <c r="J11" s="814"/>
      <c r="K11" s="811"/>
      <c r="L11" s="814"/>
      <c r="M11" s="811"/>
      <c r="N11" s="625"/>
      <c r="O11" s="811"/>
      <c r="P11" s="811"/>
      <c r="Q11" s="811"/>
      <c r="R11" s="573"/>
      <c r="S11" s="573"/>
      <c r="T11" s="593"/>
      <c r="U11" s="593"/>
      <c r="V11" s="625"/>
      <c r="W11" s="625"/>
    </row>
    <row r="12" spans="1:23" s="35" customFormat="1">
      <c r="A12" s="477" t="s">
        <v>215</v>
      </c>
      <c r="B12" s="625">
        <v>680.75</v>
      </c>
      <c r="C12" s="328">
        <f>-428.75-252</f>
        <v>-680.75</v>
      </c>
      <c r="D12" s="328"/>
      <c r="E12" s="328"/>
      <c r="F12" s="328"/>
      <c r="G12" s="328"/>
      <c r="H12" s="328"/>
      <c r="I12" s="328"/>
      <c r="J12" s="349">
        <v>100</v>
      </c>
      <c r="K12" s="328">
        <f>-3-3-3-3-3-3-6-9.65-3-3-14-3.25</f>
        <v>-56.9</v>
      </c>
      <c r="L12" s="349">
        <v>100</v>
      </c>
      <c r="M12" s="328">
        <f>-3-8.15-12</f>
        <v>-23.15</v>
      </c>
      <c r="N12" s="625">
        <v>100</v>
      </c>
      <c r="O12" s="328">
        <f>-3-4.9-3-3-3-3</f>
        <v>-19.899999999999999</v>
      </c>
      <c r="P12" s="774"/>
      <c r="Q12" s="774"/>
      <c r="R12" s="573"/>
      <c r="S12" s="573"/>
      <c r="T12" s="593">
        <f>L12+J12</f>
        <v>200</v>
      </c>
      <c r="U12" s="593">
        <f>M12+K12</f>
        <v>-80.05</v>
      </c>
      <c r="V12" s="625">
        <f>N12+B12</f>
        <v>780.75</v>
      </c>
      <c r="W12" s="625">
        <f>+C12+O12</f>
        <v>-700.65</v>
      </c>
    </row>
    <row r="13" spans="1:23" s="35" customFormat="1">
      <c r="A13" s="717" t="s">
        <v>147</v>
      </c>
      <c r="B13" s="718"/>
      <c r="C13" s="718"/>
      <c r="D13" s="718"/>
      <c r="E13" s="718"/>
      <c r="F13" s="718"/>
      <c r="G13" s="718"/>
      <c r="H13" s="718"/>
      <c r="I13" s="718"/>
      <c r="J13" s="487"/>
      <c r="K13" s="487"/>
      <c r="L13" s="488"/>
      <c r="M13" s="488"/>
      <c r="N13" s="488"/>
      <c r="O13" s="488"/>
      <c r="P13" s="488"/>
      <c r="Q13" s="488"/>
      <c r="R13" s="488"/>
      <c r="S13" s="488"/>
      <c r="T13" s="537"/>
      <c r="U13" s="524"/>
      <c r="V13" s="524"/>
      <c r="W13" s="525"/>
    </row>
    <row r="14" spans="1:23" s="35" customFormat="1">
      <c r="A14" s="477" t="s">
        <v>142</v>
      </c>
      <c r="B14" s="328"/>
      <c r="C14" s="328"/>
      <c r="D14" s="328"/>
      <c r="E14" s="328"/>
      <c r="F14" s="328"/>
      <c r="G14" s="328"/>
      <c r="H14" s="328"/>
      <c r="I14" s="328"/>
      <c r="J14" s="328"/>
      <c r="K14" s="328"/>
      <c r="L14" s="328"/>
      <c r="M14" s="328"/>
      <c r="N14" s="326"/>
      <c r="O14" s="326"/>
      <c r="P14" s="326"/>
      <c r="Q14" s="326"/>
      <c r="R14" s="628"/>
      <c r="S14" s="628"/>
      <c r="T14" s="627"/>
      <c r="U14" s="627"/>
      <c r="V14" s="625"/>
      <c r="W14" s="625"/>
    </row>
    <row r="15" spans="1:23" s="35" customFormat="1">
      <c r="A15" s="477" t="s">
        <v>143</v>
      </c>
      <c r="B15" s="328"/>
      <c r="C15" s="328"/>
      <c r="D15" s="328"/>
      <c r="E15" s="328"/>
      <c r="F15" s="328"/>
      <c r="G15" s="328"/>
      <c r="H15" s="328"/>
      <c r="I15" s="328"/>
      <c r="J15" s="328"/>
      <c r="K15" s="328"/>
      <c r="L15" s="328"/>
      <c r="M15" s="328"/>
      <c r="N15" s="326"/>
      <c r="O15" s="326"/>
      <c r="P15" s="326"/>
      <c r="Q15" s="326"/>
      <c r="R15" s="628"/>
      <c r="S15" s="628"/>
      <c r="T15" s="627"/>
      <c r="U15" s="627"/>
      <c r="V15" s="625"/>
      <c r="W15" s="625"/>
    </row>
    <row r="16" spans="1:23" s="35" customFormat="1">
      <c r="A16" s="477" t="s">
        <v>144</v>
      </c>
      <c r="B16" s="472"/>
      <c r="C16" s="328"/>
      <c r="D16" s="328"/>
      <c r="E16" s="328"/>
      <c r="F16" s="328"/>
      <c r="G16" s="328"/>
      <c r="H16" s="328"/>
      <c r="I16" s="328"/>
      <c r="J16" s="328"/>
      <c r="K16" s="328"/>
      <c r="L16" s="328"/>
      <c r="M16" s="328"/>
      <c r="N16" s="326"/>
      <c r="O16" s="326"/>
      <c r="P16" s="326"/>
      <c r="Q16" s="326"/>
      <c r="R16" s="628"/>
      <c r="S16" s="628"/>
      <c r="T16" s="627"/>
      <c r="U16" s="627"/>
      <c r="V16" s="625"/>
      <c r="W16" s="625"/>
    </row>
    <row r="17" spans="1:23" s="35" customFormat="1">
      <c r="A17" s="477" t="s">
        <v>145</v>
      </c>
      <c r="B17" s="328"/>
      <c r="C17" s="328"/>
      <c r="D17" s="328"/>
      <c r="E17" s="328"/>
      <c r="F17" s="328"/>
      <c r="G17" s="328"/>
      <c r="H17" s="328"/>
      <c r="I17" s="328"/>
      <c r="J17" s="328"/>
      <c r="K17" s="328"/>
      <c r="L17" s="328"/>
      <c r="M17" s="328"/>
      <c r="N17" s="326"/>
      <c r="O17" s="326"/>
      <c r="P17" s="326"/>
      <c r="Q17" s="326"/>
      <c r="R17" s="628"/>
      <c r="S17" s="628"/>
      <c r="T17" s="627"/>
      <c r="U17" s="627"/>
      <c r="V17" s="625"/>
      <c r="W17" s="625"/>
    </row>
    <row r="18" spans="1:23" s="35" customFormat="1">
      <c r="A18" s="717" t="s">
        <v>148</v>
      </c>
      <c r="B18" s="718"/>
      <c r="C18" s="718"/>
      <c r="D18" s="718"/>
      <c r="E18" s="718"/>
      <c r="F18" s="718"/>
      <c r="G18" s="718"/>
      <c r="H18" s="718"/>
      <c r="I18" s="718"/>
      <c r="J18" s="487"/>
      <c r="K18" s="487"/>
      <c r="L18" s="488"/>
      <c r="M18" s="488"/>
      <c r="N18" s="488"/>
      <c r="O18" s="488"/>
      <c r="P18" s="488"/>
      <c r="Q18" s="488"/>
      <c r="R18" s="488"/>
      <c r="S18" s="488"/>
      <c r="T18" s="537"/>
      <c r="U18" s="524"/>
      <c r="V18" s="524"/>
      <c r="W18" s="525"/>
    </row>
    <row r="19" spans="1:23" s="35" customFormat="1">
      <c r="A19" s="477" t="s">
        <v>149</v>
      </c>
      <c r="B19" s="625"/>
      <c r="C19" s="328"/>
      <c r="D19" s="328"/>
      <c r="E19" s="328"/>
      <c r="F19" s="328"/>
      <c r="G19" s="328"/>
      <c r="H19" s="328"/>
      <c r="I19" s="328"/>
      <c r="J19" s="328"/>
      <c r="K19" s="328"/>
      <c r="L19" s="328"/>
      <c r="M19" s="328"/>
      <c r="N19" s="326"/>
      <c r="O19" s="326"/>
      <c r="P19" s="326"/>
      <c r="Q19" s="326"/>
      <c r="R19" s="628"/>
      <c r="S19" s="628"/>
      <c r="T19" s="627"/>
      <c r="U19" s="627"/>
      <c r="V19" s="625">
        <f>B19</f>
        <v>0</v>
      </c>
      <c r="W19" s="625">
        <f>C19</f>
        <v>0</v>
      </c>
    </row>
    <row r="20" spans="1:23" s="35" customFormat="1">
      <c r="A20" s="477" t="s">
        <v>150</v>
      </c>
      <c r="B20" s="328"/>
      <c r="C20" s="328"/>
      <c r="D20" s="328"/>
      <c r="E20" s="328"/>
      <c r="F20" s="328"/>
      <c r="G20" s="328"/>
      <c r="H20" s="328"/>
      <c r="I20" s="328"/>
      <c r="J20" s="388"/>
      <c r="K20" s="463"/>
      <c r="L20" s="328"/>
      <c r="M20" s="328"/>
      <c r="N20" s="326"/>
      <c r="O20" s="326"/>
      <c r="P20" s="326"/>
      <c r="Q20" s="326"/>
      <c r="R20" s="628"/>
      <c r="S20" s="628"/>
      <c r="T20" s="627">
        <f>J20</f>
        <v>0</v>
      </c>
      <c r="U20" s="627">
        <f>K20</f>
        <v>0</v>
      </c>
      <c r="V20" s="625"/>
      <c r="W20" s="625"/>
    </row>
    <row r="21" spans="1:23" s="35" customFormat="1">
      <c r="A21" s="477" t="s">
        <v>151</v>
      </c>
      <c r="B21" s="628">
        <v>187.5</v>
      </c>
      <c r="C21" s="745">
        <v>-187.5</v>
      </c>
      <c r="D21" s="745"/>
      <c r="E21" s="745"/>
      <c r="F21" s="745"/>
      <c r="G21" s="745"/>
      <c r="H21" s="745"/>
      <c r="I21" s="745"/>
      <c r="J21" s="388"/>
      <c r="K21" s="463"/>
      <c r="L21" s="745"/>
      <c r="M21" s="745"/>
      <c r="N21" s="326"/>
      <c r="O21" s="326"/>
      <c r="P21" s="326"/>
      <c r="Q21" s="326"/>
      <c r="R21" s="628"/>
      <c r="S21" s="628"/>
      <c r="T21" s="627"/>
      <c r="U21" s="627"/>
      <c r="V21" s="625"/>
      <c r="W21" s="625"/>
    </row>
    <row r="22" spans="1:23" s="35" customFormat="1">
      <c r="A22" s="477" t="s">
        <v>151</v>
      </c>
      <c r="B22" s="625">
        <v>3500</v>
      </c>
      <c r="C22" s="328">
        <f>-1202.25-153.25-120.7-247.3-580.5-669-12.5-81.75-137.5</f>
        <v>-3204.75</v>
      </c>
      <c r="D22" s="328"/>
      <c r="E22" s="328"/>
      <c r="F22" s="328"/>
      <c r="G22" s="328"/>
      <c r="H22" s="328"/>
      <c r="I22" s="328"/>
      <c r="J22" s="328"/>
      <c r="K22" s="328"/>
      <c r="L22" s="328"/>
      <c r="M22" s="328"/>
      <c r="N22" s="326"/>
      <c r="O22" s="326"/>
      <c r="P22" s="326"/>
      <c r="Q22" s="326"/>
      <c r="R22" s="628">
        <f>B21</f>
        <v>187.5</v>
      </c>
      <c r="S22" s="628">
        <f>C21</f>
        <v>-187.5</v>
      </c>
      <c r="T22" s="627"/>
      <c r="U22" s="627"/>
      <c r="V22" s="625">
        <f>B22</f>
        <v>3500</v>
      </c>
      <c r="W22" s="625">
        <f>C22</f>
        <v>-3204.75</v>
      </c>
    </row>
    <row r="23" spans="1:23" s="35" customFormat="1">
      <c r="A23" s="477" t="s">
        <v>152</v>
      </c>
      <c r="B23" s="328"/>
      <c r="C23" s="328"/>
      <c r="D23" s="328"/>
      <c r="E23" s="328"/>
      <c r="F23" s="328"/>
      <c r="G23" s="328"/>
      <c r="H23" s="328"/>
      <c r="I23" s="328"/>
      <c r="J23" s="328"/>
      <c r="K23" s="328"/>
      <c r="L23" s="328"/>
      <c r="M23" s="328"/>
      <c r="N23" s="326"/>
      <c r="O23" s="326"/>
      <c r="P23" s="326"/>
      <c r="Q23" s="326"/>
      <c r="R23" s="628"/>
      <c r="S23" s="628"/>
      <c r="T23" s="627"/>
      <c r="U23" s="627"/>
      <c r="V23" s="625"/>
      <c r="W23" s="625"/>
    </row>
    <row r="24" spans="1:23" s="35" customFormat="1">
      <c r="A24" s="717" t="s">
        <v>153</v>
      </c>
      <c r="B24" s="718"/>
      <c r="C24" s="718"/>
      <c r="D24" s="718"/>
      <c r="E24" s="718"/>
      <c r="F24" s="718"/>
      <c r="G24" s="718"/>
      <c r="H24" s="718"/>
      <c r="I24" s="718"/>
      <c r="J24" s="487"/>
      <c r="K24" s="487"/>
      <c r="L24" s="488"/>
      <c r="M24" s="488"/>
      <c r="N24" s="488"/>
      <c r="O24" s="488"/>
      <c r="P24" s="488"/>
      <c r="Q24" s="488"/>
      <c r="R24" s="488"/>
      <c r="S24" s="488"/>
      <c r="T24" s="537"/>
      <c r="U24" s="524"/>
      <c r="V24" s="524"/>
      <c r="W24" s="525"/>
    </row>
    <row r="25" spans="1:23" s="35" customFormat="1">
      <c r="A25" s="477" t="s">
        <v>156</v>
      </c>
      <c r="B25" s="719"/>
      <c r="C25" s="719"/>
      <c r="D25" s="719"/>
      <c r="E25" s="719"/>
      <c r="F25" s="719"/>
      <c r="G25" s="719"/>
      <c r="H25" s="563">
        <v>2210.7600000000002</v>
      </c>
      <c r="I25" s="328">
        <v>-2210.7600000000002</v>
      </c>
      <c r="J25" s="328"/>
      <c r="K25" s="328"/>
      <c r="L25" s="328"/>
      <c r="M25" s="328"/>
      <c r="N25" s="326"/>
      <c r="O25" s="326"/>
      <c r="P25" s="326"/>
      <c r="Q25" s="326"/>
      <c r="R25" s="626">
        <f>H25</f>
        <v>2210.7600000000002</v>
      </c>
      <c r="S25" s="626">
        <f>I25</f>
        <v>-2210.7600000000002</v>
      </c>
      <c r="T25" s="627"/>
      <c r="U25" s="627"/>
      <c r="V25" s="625"/>
      <c r="W25" s="625"/>
    </row>
    <row r="26" spans="1:23" s="35" customFormat="1">
      <c r="A26" s="477" t="s">
        <v>129</v>
      </c>
      <c r="B26" s="328"/>
      <c r="C26" s="328"/>
      <c r="D26" s="328"/>
      <c r="E26" s="328"/>
      <c r="F26" s="328"/>
      <c r="G26" s="328"/>
      <c r="H26" s="716"/>
      <c r="I26" s="716"/>
      <c r="J26" s="716"/>
      <c r="K26" s="716"/>
      <c r="L26" s="716"/>
      <c r="M26" s="716"/>
      <c r="R26" s="626"/>
      <c r="S26" s="626"/>
      <c r="T26" s="627"/>
      <c r="U26" s="627"/>
      <c r="V26" s="625"/>
      <c r="W26" s="625"/>
    </row>
    <row r="27" spans="1:23" s="35" customFormat="1">
      <c r="A27" s="477" t="s">
        <v>157</v>
      </c>
      <c r="B27" s="328"/>
      <c r="C27" s="328"/>
      <c r="D27" s="328"/>
      <c r="E27" s="328"/>
      <c r="F27" s="328"/>
      <c r="G27" s="328"/>
      <c r="H27" s="328"/>
      <c r="I27" s="328"/>
      <c r="J27" s="328"/>
      <c r="K27" s="328"/>
      <c r="L27" s="328"/>
      <c r="M27" s="328"/>
      <c r="N27" s="561"/>
      <c r="O27" s="326"/>
      <c r="P27" s="326"/>
      <c r="Q27" s="326"/>
      <c r="R27" s="626"/>
      <c r="S27" s="626"/>
      <c r="T27" s="627"/>
      <c r="U27" s="627"/>
      <c r="V27" s="625"/>
      <c r="W27" s="625"/>
    </row>
    <row r="28" spans="1:23" s="35" customFormat="1">
      <c r="A28" s="477" t="s">
        <v>158</v>
      </c>
      <c r="B28" s="328"/>
      <c r="C28" s="328"/>
      <c r="D28" s="328"/>
      <c r="E28" s="328"/>
      <c r="F28" s="328"/>
      <c r="G28" s="328"/>
      <c r="H28" s="328"/>
      <c r="I28" s="328"/>
      <c r="J28" s="328"/>
      <c r="K28" s="328"/>
      <c r="L28" s="328"/>
      <c r="M28" s="328"/>
      <c r="N28" s="326"/>
      <c r="O28" s="326"/>
      <c r="P28" s="326"/>
      <c r="Q28" s="326"/>
      <c r="R28" s="626"/>
      <c r="S28" s="626"/>
      <c r="T28" s="627"/>
      <c r="U28" s="627"/>
      <c r="V28" s="625"/>
      <c r="W28" s="625"/>
    </row>
    <row r="29" spans="1:23" s="35" customFormat="1">
      <c r="A29" s="717" t="s">
        <v>160</v>
      </c>
      <c r="B29" s="718"/>
      <c r="C29" s="487"/>
      <c r="D29" s="718"/>
      <c r="E29" s="718"/>
      <c r="F29" s="718"/>
      <c r="G29" s="718"/>
      <c r="H29" s="718"/>
      <c r="I29" s="718"/>
      <c r="J29" s="487"/>
      <c r="K29" s="487"/>
      <c r="L29" s="488"/>
      <c r="M29" s="488"/>
      <c r="N29" s="488"/>
      <c r="O29" s="488"/>
      <c r="P29" s="488"/>
      <c r="Q29" s="488"/>
      <c r="R29" s="488"/>
      <c r="S29" s="488"/>
      <c r="T29" s="537"/>
      <c r="U29" s="524"/>
      <c r="V29" s="524"/>
      <c r="W29" s="525"/>
    </row>
    <row r="30" spans="1:23" s="35" customFormat="1">
      <c r="A30" s="477" t="s">
        <v>161</v>
      </c>
      <c r="B30" s="328"/>
      <c r="C30" s="328"/>
      <c r="D30" s="328"/>
      <c r="E30" s="328"/>
      <c r="F30" s="328"/>
      <c r="G30" s="328"/>
      <c r="H30" s="328"/>
      <c r="I30" s="328"/>
      <c r="J30" s="328"/>
      <c r="K30" s="328"/>
      <c r="L30" s="328"/>
      <c r="M30" s="328"/>
      <c r="N30" s="492"/>
      <c r="O30" s="492"/>
      <c r="P30" s="492"/>
      <c r="Q30" s="492"/>
      <c r="R30" s="628"/>
      <c r="S30" s="628"/>
      <c r="T30" s="627"/>
      <c r="U30" s="627"/>
      <c r="V30" s="625"/>
      <c r="W30" s="625"/>
    </row>
    <row r="31" spans="1:23" s="35" customFormat="1">
      <c r="A31" s="477" t="s">
        <v>162</v>
      </c>
      <c r="B31" s="472"/>
      <c r="C31" s="472"/>
      <c r="D31" s="472"/>
      <c r="E31" s="472"/>
      <c r="F31" s="472"/>
      <c r="G31" s="472"/>
      <c r="H31" s="328"/>
      <c r="I31" s="328"/>
      <c r="J31" s="774"/>
      <c r="K31" s="774"/>
      <c r="L31" s="774"/>
      <c r="M31" s="328"/>
      <c r="N31" s="782"/>
      <c r="O31" s="326"/>
      <c r="P31" s="326"/>
      <c r="Q31" s="326"/>
      <c r="R31" s="628"/>
      <c r="S31" s="628"/>
      <c r="T31" s="627"/>
      <c r="U31" s="627"/>
      <c r="V31" s="625"/>
      <c r="W31" s="625"/>
    </row>
    <row r="32" spans="1:23" s="35" customFormat="1">
      <c r="A32" s="477" t="s">
        <v>163</v>
      </c>
      <c r="B32" s="625"/>
      <c r="C32" s="492"/>
      <c r="D32" s="472"/>
      <c r="E32" s="472"/>
      <c r="F32" s="472"/>
      <c r="G32" s="472"/>
      <c r="H32" s="328"/>
      <c r="I32" s="328"/>
      <c r="J32" s="328"/>
      <c r="K32" s="328"/>
      <c r="L32" s="328"/>
      <c r="M32" s="328"/>
      <c r="N32" s="326"/>
      <c r="O32" s="326"/>
      <c r="P32" s="326"/>
      <c r="Q32" s="326"/>
      <c r="R32" s="628"/>
      <c r="S32" s="628"/>
      <c r="T32" s="627"/>
      <c r="U32" s="627"/>
      <c r="V32" s="625">
        <f>B32</f>
        <v>0</v>
      </c>
      <c r="W32" s="625"/>
    </row>
    <row r="33" spans="1:23" s="35" customFormat="1">
      <c r="A33" s="477" t="s">
        <v>164</v>
      </c>
      <c r="B33" s="328"/>
      <c r="C33" s="328"/>
      <c r="D33" s="328"/>
      <c r="E33" s="328"/>
      <c r="F33" s="328"/>
      <c r="G33" s="328"/>
      <c r="H33" s="328"/>
      <c r="I33" s="328"/>
      <c r="J33" s="722"/>
      <c r="K33" s="492"/>
      <c r="L33" s="328"/>
      <c r="M33" s="328"/>
      <c r="N33" s="625">
        <v>150</v>
      </c>
      <c r="O33" s="328"/>
      <c r="P33" s="774"/>
      <c r="Q33" s="774"/>
      <c r="R33" s="628"/>
      <c r="S33" s="628"/>
      <c r="T33" s="627">
        <f>J33</f>
        <v>0</v>
      </c>
      <c r="U33" s="627">
        <f>K33</f>
        <v>0</v>
      </c>
      <c r="V33" s="625">
        <f>N33</f>
        <v>150</v>
      </c>
      <c r="W33" s="625">
        <f>O33</f>
        <v>0</v>
      </c>
    </row>
    <row r="34" spans="1:23" s="35" customFormat="1">
      <c r="A34" s="477" t="s">
        <v>267</v>
      </c>
      <c r="B34" s="573">
        <f>78.61+65</f>
        <v>143.61000000000001</v>
      </c>
      <c r="C34" s="328">
        <f>-78.61-65</f>
        <v>-143.61000000000001</v>
      </c>
      <c r="D34" s="328"/>
      <c r="E34" s="328"/>
      <c r="F34" s="328"/>
      <c r="G34" s="328"/>
      <c r="H34" s="573"/>
      <c r="I34" s="328"/>
      <c r="J34" s="721"/>
      <c r="K34" s="328"/>
      <c r="L34" s="328"/>
      <c r="M34" s="328"/>
      <c r="N34" s="328"/>
      <c r="O34" s="328"/>
      <c r="P34" s="774"/>
      <c r="Q34" s="774"/>
      <c r="R34" s="573">
        <f>H34+B34</f>
        <v>143.61000000000001</v>
      </c>
      <c r="S34" s="573">
        <f>I34+C34</f>
        <v>-143.61000000000001</v>
      </c>
      <c r="T34" s="627"/>
      <c r="U34" s="627"/>
      <c r="V34" s="625"/>
      <c r="W34" s="625"/>
    </row>
    <row r="35" spans="1:23" s="35" customFormat="1">
      <c r="A35" s="477" t="s">
        <v>165</v>
      </c>
      <c r="B35" s="719"/>
      <c r="C35" s="651"/>
      <c r="D35" s="719"/>
      <c r="E35" s="719"/>
      <c r="F35" s="719"/>
      <c r="G35" s="719"/>
      <c r="H35" s="719"/>
      <c r="I35" s="719"/>
      <c r="J35" s="533"/>
      <c r="K35" s="651"/>
      <c r="L35" s="643"/>
      <c r="M35" s="643"/>
      <c r="N35" s="643"/>
      <c r="O35" s="643"/>
      <c r="P35" s="643"/>
      <c r="Q35" s="643"/>
      <c r="R35" s="573"/>
      <c r="S35" s="573"/>
      <c r="T35" s="627"/>
      <c r="U35" s="627"/>
      <c r="V35" s="625"/>
      <c r="W35" s="625"/>
    </row>
    <row r="36" spans="1:23" s="35" customFormat="1">
      <c r="A36" s="717" t="str">
        <f>'AVP  Health'!A46</f>
        <v>Other Expense</v>
      </c>
      <c r="B36" s="718"/>
      <c r="C36" s="487"/>
      <c r="D36" s="718"/>
      <c r="E36" s="718"/>
      <c r="F36" s="718"/>
      <c r="G36" s="718"/>
      <c r="H36" s="718"/>
      <c r="I36" s="718"/>
      <c r="J36" s="718"/>
      <c r="K36" s="718"/>
      <c r="L36" s="718"/>
      <c r="M36" s="718"/>
      <c r="N36" s="718"/>
      <c r="O36" s="718"/>
      <c r="P36" s="718"/>
      <c r="Q36" s="718"/>
      <c r="R36" s="718"/>
      <c r="S36" s="718"/>
      <c r="T36" s="718"/>
      <c r="U36" s="718"/>
      <c r="V36" s="718"/>
      <c r="W36" s="718"/>
    </row>
    <row r="37" spans="1:23" s="35" customFormat="1">
      <c r="A37" s="491" t="str">
        <f>'AVP  Health'!A47</f>
        <v>Community Relations</v>
      </c>
      <c r="B37" s="626"/>
      <c r="C37" s="505"/>
      <c r="D37" s="328"/>
      <c r="E37" s="328"/>
      <c r="F37" s="328"/>
      <c r="G37" s="477"/>
      <c r="H37" s="328"/>
      <c r="I37" s="328"/>
      <c r="J37" s="328"/>
      <c r="K37" s="328"/>
      <c r="L37" s="389"/>
      <c r="M37" s="328"/>
      <c r="N37" s="328"/>
      <c r="O37" s="328"/>
      <c r="P37" s="774"/>
      <c r="Q37" s="774"/>
      <c r="R37" s="626">
        <f>B37</f>
        <v>0</v>
      </c>
      <c r="S37" s="626">
        <f>C37</f>
        <v>0</v>
      </c>
      <c r="T37" s="627"/>
      <c r="U37" s="627"/>
      <c r="V37" s="625"/>
      <c r="W37" s="625"/>
    </row>
    <row r="38" spans="1:23" s="35" customFormat="1">
      <c r="A38" s="477" t="s">
        <v>171</v>
      </c>
      <c r="B38" s="625">
        <v>700</v>
      </c>
      <c r="C38" s="328">
        <f>-599-41.48-48.09</f>
        <v>-688.57</v>
      </c>
      <c r="D38" s="328"/>
      <c r="E38" s="328"/>
      <c r="F38" s="328"/>
      <c r="G38" s="328"/>
      <c r="H38" s="328"/>
      <c r="I38" s="328"/>
      <c r="J38" s="328"/>
      <c r="K38" s="328"/>
      <c r="L38" s="328"/>
      <c r="M38" s="328"/>
      <c r="N38" s="328"/>
      <c r="O38" s="328"/>
      <c r="P38" s="774"/>
      <c r="Q38" s="774"/>
      <c r="R38" s="573"/>
      <c r="S38" s="573"/>
      <c r="T38" s="627"/>
      <c r="U38" s="627"/>
      <c r="V38" s="625">
        <f>B38</f>
        <v>700</v>
      </c>
      <c r="W38" s="625">
        <f>C38</f>
        <v>-688.57</v>
      </c>
    </row>
    <row r="39" spans="1:23" s="35" customFormat="1">
      <c r="A39" s="712" t="s">
        <v>28</v>
      </c>
      <c r="B39" s="328">
        <f>SUM(B4:B38)</f>
        <v>27946.86</v>
      </c>
      <c r="C39" s="328">
        <f>SUM(C4:C38)</f>
        <v>-18995.240000000002</v>
      </c>
      <c r="D39" s="328">
        <f t="shared" ref="D39:M39" si="1">SUM(D3:D38)</f>
        <v>0</v>
      </c>
      <c r="E39" s="328">
        <f t="shared" si="1"/>
        <v>0</v>
      </c>
      <c r="F39" s="328">
        <f t="shared" si="1"/>
        <v>0</v>
      </c>
      <c r="G39" s="328">
        <f t="shared" si="1"/>
        <v>0</v>
      </c>
      <c r="H39" s="328">
        <f t="shared" si="1"/>
        <v>2210.7600000000002</v>
      </c>
      <c r="I39" s="328">
        <f>SUM(I3:I38)</f>
        <v>-2210.7600000000002</v>
      </c>
      <c r="J39" s="328">
        <f>SUM(J3:J38)</f>
        <v>2950</v>
      </c>
      <c r="K39" s="328">
        <f>SUM(K3:K38)</f>
        <v>-1006.4899999999999</v>
      </c>
      <c r="L39" s="328">
        <f t="shared" si="1"/>
        <v>800</v>
      </c>
      <c r="M39" s="328">
        <f t="shared" si="1"/>
        <v>-248.30999999999997</v>
      </c>
      <c r="N39" s="328">
        <f>SUM(N3:N38)</f>
        <v>2870</v>
      </c>
      <c r="O39" s="328">
        <f>SUM(O3:O38)</f>
        <v>-424.80999999999995</v>
      </c>
      <c r="P39" s="774"/>
      <c r="Q39" s="774"/>
      <c r="R39" s="573">
        <f>SUM(R3:R38)</f>
        <v>2541.8700000000003</v>
      </c>
      <c r="S39" s="573">
        <f>SUM(S3:S38)</f>
        <v>-2541.8700000000003</v>
      </c>
      <c r="T39" s="535">
        <f>SUM(T4:T38)</f>
        <v>3750</v>
      </c>
      <c r="U39" s="535">
        <f>SUM(U4:U38)</f>
        <v>-1254.8</v>
      </c>
      <c r="V39" s="625">
        <f>SUM(V4:V38)</f>
        <v>30050.75</v>
      </c>
      <c r="W39" s="625">
        <f>W4+W5+W6+W7+W8+W9+W10+W12+W14+W15+W16+W17+W19+W20+W22+W23+W26+W27+W28+W30+W31+W33+W35+W37+W38</f>
        <v>-18653.940000000002</v>
      </c>
    </row>
    <row r="40" spans="1:23" s="35" customFormat="1">
      <c r="B40" s="321"/>
      <c r="C40" s="321"/>
      <c r="D40" s="321"/>
      <c r="E40" s="321"/>
      <c r="F40" s="321"/>
      <c r="G40" s="321"/>
      <c r="H40" s="321"/>
      <c r="I40" s="321"/>
      <c r="J40" s="321"/>
      <c r="K40" s="321"/>
      <c r="N40" s="351"/>
      <c r="O40" s="351"/>
      <c r="P40" s="351"/>
      <c r="Q40" s="351"/>
      <c r="R40" s="351"/>
      <c r="S40" s="351"/>
      <c r="V40" s="444"/>
      <c r="W40" s="444"/>
    </row>
    <row r="41" spans="1:23" s="35" customFormat="1">
      <c r="B41" s="321"/>
      <c r="C41" s="321"/>
      <c r="D41" s="321"/>
      <c r="E41" s="321"/>
      <c r="F41" s="321"/>
      <c r="G41" s="321"/>
      <c r="H41" s="321"/>
      <c r="I41" s="321"/>
      <c r="J41" s="321"/>
      <c r="K41" s="321"/>
      <c r="L41" s="321"/>
      <c r="M41" s="321"/>
      <c r="N41" s="353"/>
      <c r="O41" s="353"/>
      <c r="P41" s="353"/>
      <c r="Q41" s="353"/>
      <c r="R41" s="353"/>
      <c r="S41" s="353"/>
      <c r="V41" s="444"/>
      <c r="W41" s="444"/>
    </row>
    <row r="45" spans="1:23" ht="31.5" customHeight="1">
      <c r="A45" s="463"/>
      <c r="B45" s="891" t="s">
        <v>240</v>
      </c>
      <c r="C45" s="891"/>
      <c r="D45" s="914" t="s">
        <v>136</v>
      </c>
      <c r="E45" s="914"/>
      <c r="F45" s="914" t="s">
        <v>137</v>
      </c>
      <c r="G45" s="914"/>
      <c r="H45" s="914" t="s">
        <v>248</v>
      </c>
      <c r="I45" s="915"/>
      <c r="J45" s="914" t="s">
        <v>249</v>
      </c>
      <c r="K45" s="915"/>
      <c r="L45" s="914" t="s">
        <v>271</v>
      </c>
      <c r="M45" s="915"/>
      <c r="N45" s="916" t="s">
        <v>270</v>
      </c>
      <c r="O45" s="916"/>
      <c r="P45" s="884" t="s">
        <v>207</v>
      </c>
      <c r="Q45" s="885"/>
      <c r="R45" s="917" t="s">
        <v>222</v>
      </c>
      <c r="S45" s="918"/>
      <c r="T45" s="919" t="s">
        <v>100</v>
      </c>
      <c r="U45" s="916"/>
      <c r="V45" s="920" t="s">
        <v>2</v>
      </c>
      <c r="W45" s="921"/>
    </row>
    <row r="46" spans="1:23" ht="24">
      <c r="A46" s="490"/>
      <c r="B46" s="386" t="s">
        <v>4</v>
      </c>
      <c r="C46" s="366" t="s">
        <v>94</v>
      </c>
      <c r="D46" s="366" t="s">
        <v>4</v>
      </c>
      <c r="E46" s="450" t="s">
        <v>126</v>
      </c>
      <c r="F46" s="366" t="s">
        <v>4</v>
      </c>
      <c r="G46" s="451" t="s">
        <v>94</v>
      </c>
      <c r="H46" s="366" t="s">
        <v>4</v>
      </c>
      <c r="I46" s="366" t="s">
        <v>94</v>
      </c>
      <c r="J46" s="366" t="s">
        <v>4</v>
      </c>
      <c r="K46" s="366" t="s">
        <v>94</v>
      </c>
      <c r="L46" s="366" t="s">
        <v>4</v>
      </c>
      <c r="M46" s="366" t="s">
        <v>94</v>
      </c>
      <c r="N46" s="366" t="s">
        <v>4</v>
      </c>
      <c r="O46" s="366" t="s">
        <v>94</v>
      </c>
      <c r="P46" s="778" t="s">
        <v>4</v>
      </c>
      <c r="Q46" s="778" t="s">
        <v>94</v>
      </c>
      <c r="R46" s="562" t="s">
        <v>4</v>
      </c>
      <c r="S46" s="562" t="s">
        <v>94</v>
      </c>
      <c r="T46" s="387" t="s">
        <v>4</v>
      </c>
      <c r="U46" s="390" t="s">
        <v>94</v>
      </c>
      <c r="V46" s="649"/>
      <c r="W46" s="649"/>
    </row>
    <row r="47" spans="1:23">
      <c r="A47" s="629" t="s">
        <v>146</v>
      </c>
      <c r="B47" s="629"/>
      <c r="C47" s="629"/>
      <c r="D47" s="718"/>
      <c r="E47" s="718"/>
      <c r="F47" s="718"/>
      <c r="G47" s="487"/>
      <c r="H47" s="488"/>
      <c r="I47" s="488"/>
      <c r="J47" s="488"/>
      <c r="K47" s="488"/>
      <c r="L47" s="489"/>
      <c r="M47" s="489"/>
      <c r="N47" s="501"/>
      <c r="O47" s="501"/>
      <c r="P47" s="501"/>
      <c r="Q47" s="501"/>
      <c r="R47" s="501"/>
      <c r="S47" s="501"/>
      <c r="T47" s="501"/>
      <c r="U47" s="501"/>
      <c r="V47" s="501"/>
      <c r="W47" s="501"/>
    </row>
    <row r="48" spans="1:23">
      <c r="A48" s="477" t="s">
        <v>154</v>
      </c>
      <c r="B48" s="477"/>
      <c r="C48" s="477"/>
      <c r="D48" s="328"/>
      <c r="E48" s="328"/>
      <c r="F48" s="399"/>
      <c r="G48" s="399"/>
      <c r="H48" s="388">
        <v>750</v>
      </c>
      <c r="I48" s="328">
        <f>-59.45-82.24-52.33-89.27-22.79-22.61-23.63</f>
        <v>-352.32</v>
      </c>
      <c r="J48" s="388">
        <v>750</v>
      </c>
      <c r="K48" s="328">
        <f>-67.37-10.41-103.42-55.36-20.47-30.22-93.44-61.14</f>
        <v>-441.83</v>
      </c>
      <c r="L48" s="388"/>
      <c r="M48" s="328"/>
      <c r="N48" s="388"/>
      <c r="O48" s="328"/>
      <c r="P48" s="775"/>
      <c r="Q48" s="775"/>
      <c r="R48" s="564"/>
      <c r="S48" s="564"/>
      <c r="T48" s="388">
        <f>N48+L48+H48+J48</f>
        <v>1500</v>
      </c>
      <c r="U48" s="388">
        <f>O48+M48+I48+K48</f>
        <v>-794.15</v>
      </c>
      <c r="V48" s="649"/>
      <c r="W48" s="649"/>
    </row>
    <row r="49" spans="1:23">
      <c r="A49" s="477" t="s">
        <v>140</v>
      </c>
      <c r="B49" s="477"/>
      <c r="C49" s="477"/>
      <c r="D49" s="328"/>
      <c r="E49" s="328"/>
      <c r="F49" s="399"/>
      <c r="G49" s="399"/>
      <c r="H49" s="388">
        <v>400</v>
      </c>
      <c r="I49" s="328">
        <f>-310.96-61.14</f>
        <v>-372.09999999999997</v>
      </c>
      <c r="J49" s="388"/>
      <c r="K49" s="328"/>
      <c r="L49" s="388"/>
      <c r="M49" s="328"/>
      <c r="N49" s="463"/>
      <c r="O49" s="328"/>
      <c r="P49" s="775"/>
      <c r="Q49" s="775"/>
      <c r="R49" s="564"/>
      <c r="S49" s="564"/>
      <c r="T49" s="388">
        <f>L49+J49+H49</f>
        <v>400</v>
      </c>
      <c r="U49" s="388">
        <f>I49</f>
        <v>-372.09999999999997</v>
      </c>
      <c r="V49" s="649"/>
      <c r="W49" s="649"/>
    </row>
    <row r="50" spans="1:23">
      <c r="A50" s="477" t="s">
        <v>139</v>
      </c>
      <c r="B50" s="477"/>
      <c r="C50" s="477"/>
      <c r="D50" s="328"/>
      <c r="E50" s="328"/>
      <c r="F50" s="399"/>
      <c r="G50" s="399"/>
      <c r="H50" s="388">
        <v>1000</v>
      </c>
      <c r="I50" s="328">
        <f>-978.98-0.02</f>
        <v>-979</v>
      </c>
      <c r="J50" s="388">
        <v>150</v>
      </c>
      <c r="K50" s="328"/>
      <c r="L50" s="388"/>
      <c r="M50" s="328"/>
      <c r="N50" s="463"/>
      <c r="O50" s="328"/>
      <c r="P50" s="775"/>
      <c r="Q50" s="775"/>
      <c r="R50" s="564"/>
      <c r="S50" s="564"/>
      <c r="T50" s="388">
        <f>H50+J50</f>
        <v>1150</v>
      </c>
      <c r="U50" s="388">
        <f>M50+I50</f>
        <v>-979</v>
      </c>
      <c r="V50" s="649"/>
      <c r="W50" s="649"/>
    </row>
    <row r="51" spans="1:23">
      <c r="A51" s="477" t="s">
        <v>138</v>
      </c>
      <c r="B51" s="477"/>
      <c r="C51" s="477"/>
      <c r="D51" s="328"/>
      <c r="E51" s="328"/>
      <c r="F51" s="399"/>
      <c r="G51" s="399"/>
      <c r="H51" s="388"/>
      <c r="I51" s="328"/>
      <c r="J51" s="388"/>
      <c r="K51" s="328"/>
      <c r="L51" s="388"/>
      <c r="M51" s="328"/>
      <c r="N51" s="463"/>
      <c r="O51" s="328"/>
      <c r="P51" s="775"/>
      <c r="Q51" s="775"/>
      <c r="R51" s="564"/>
      <c r="S51" s="564"/>
      <c r="T51" s="388">
        <f>L51+H51+J51</f>
        <v>0</v>
      </c>
      <c r="U51" s="388">
        <f>M51+I51</f>
        <v>0</v>
      </c>
      <c r="V51" s="649"/>
      <c r="W51" s="649"/>
    </row>
    <row r="52" spans="1:23">
      <c r="A52" s="477" t="s">
        <v>141</v>
      </c>
      <c r="B52" s="477"/>
      <c r="C52" s="477"/>
      <c r="D52" s="328"/>
      <c r="E52" s="328"/>
      <c r="F52" s="399"/>
      <c r="G52" s="399"/>
      <c r="H52" s="388"/>
      <c r="I52" s="328"/>
      <c r="J52" s="388"/>
      <c r="K52" s="328"/>
      <c r="L52" s="388"/>
      <c r="M52" s="328"/>
      <c r="N52" s="328"/>
      <c r="O52" s="328"/>
      <c r="P52" s="775"/>
      <c r="Q52" s="775"/>
      <c r="R52" s="564"/>
      <c r="S52" s="564"/>
      <c r="T52" s="388">
        <f>L52+J52+H52</f>
        <v>0</v>
      </c>
      <c r="U52" s="388">
        <f>M52</f>
        <v>0</v>
      </c>
      <c r="V52" s="649"/>
      <c r="W52" s="649"/>
    </row>
    <row r="53" spans="1:23">
      <c r="A53" s="477" t="s">
        <v>9</v>
      </c>
      <c r="B53" s="477"/>
      <c r="C53" s="477"/>
      <c r="D53" s="328"/>
      <c r="E53" s="328"/>
      <c r="F53" s="388"/>
      <c r="G53" s="399"/>
      <c r="H53" s="388">
        <v>500</v>
      </c>
      <c r="I53" s="328">
        <f>-3.64-27.83-28.12-13.61-23.84-22.53-12</f>
        <v>-131.57</v>
      </c>
      <c r="J53" s="388">
        <v>250</v>
      </c>
      <c r="K53" s="328"/>
      <c r="L53" s="388"/>
      <c r="M53" s="328"/>
      <c r="N53" s="328"/>
      <c r="O53" s="328"/>
      <c r="P53" s="775"/>
      <c r="Q53" s="775"/>
      <c r="R53" s="564"/>
      <c r="S53" s="564"/>
      <c r="T53" s="388">
        <f>L53+H53+F53+J53</f>
        <v>750</v>
      </c>
      <c r="U53" s="388">
        <f>M53+I53+G53</f>
        <v>-131.57</v>
      </c>
      <c r="V53" s="649"/>
      <c r="W53" s="649"/>
    </row>
    <row r="54" spans="1:23">
      <c r="A54" s="477" t="s">
        <v>215</v>
      </c>
      <c r="B54" s="477"/>
      <c r="C54" s="477"/>
      <c r="D54" s="328"/>
      <c r="E54" s="328"/>
      <c r="F54" s="388"/>
      <c r="G54" s="399"/>
      <c r="H54" s="388">
        <v>100</v>
      </c>
      <c r="I54" s="328">
        <f>-3-3-3.25-8.15-3-3-3-4.9-3-3-4.9-15-12</f>
        <v>-69.199999999999989</v>
      </c>
      <c r="J54" s="388">
        <v>100</v>
      </c>
      <c r="K54" s="328">
        <f>-1.6-4.9-3</f>
        <v>-9.5</v>
      </c>
      <c r="L54" s="388"/>
      <c r="M54" s="328"/>
      <c r="N54" s="328"/>
      <c r="O54" s="328"/>
      <c r="P54" s="775">
        <f>B11</f>
        <v>435</v>
      </c>
      <c r="Q54" s="775">
        <f>C11</f>
        <v>-435</v>
      </c>
      <c r="R54" s="564"/>
      <c r="S54" s="564"/>
      <c r="T54" s="388">
        <f>L54+H54+F54+J54</f>
        <v>200</v>
      </c>
      <c r="U54" s="388">
        <f>M54+I54+G54+K54</f>
        <v>-78.699999999999989</v>
      </c>
      <c r="V54" s="649"/>
      <c r="W54" s="649"/>
    </row>
    <row r="55" spans="1:23">
      <c r="A55" s="629" t="s">
        <v>147</v>
      </c>
      <c r="B55" s="629"/>
      <c r="C55" s="629"/>
      <c r="D55" s="718"/>
      <c r="E55" s="718"/>
      <c r="F55" s="718"/>
      <c r="G55" s="487"/>
      <c r="H55" s="488"/>
      <c r="I55" s="488"/>
      <c r="J55" s="488"/>
      <c r="K55" s="488"/>
      <c r="L55" s="489"/>
      <c r="M55" s="489"/>
      <c r="N55" s="501"/>
      <c r="O55" s="501"/>
      <c r="P55" s="501"/>
      <c r="Q55" s="501"/>
      <c r="R55" s="501"/>
      <c r="S55" s="501"/>
      <c r="T55" s="501"/>
      <c r="U55" s="501"/>
      <c r="V55" s="501"/>
      <c r="W55" s="501"/>
    </row>
    <row r="56" spans="1:23">
      <c r="A56" s="477" t="s">
        <v>142</v>
      </c>
      <c r="B56" s="477"/>
      <c r="C56" s="477"/>
      <c r="D56" s="328"/>
      <c r="E56" s="328"/>
      <c r="F56" s="399"/>
      <c r="G56" s="399"/>
      <c r="H56" s="328"/>
      <c r="I56" s="328"/>
      <c r="J56" s="328"/>
      <c r="K56" s="328"/>
      <c r="L56" s="399"/>
      <c r="M56" s="328"/>
      <c r="N56" s="328"/>
      <c r="O56" s="328"/>
      <c r="P56" s="775"/>
      <c r="Q56" s="775"/>
      <c r="R56" s="564"/>
      <c r="S56" s="564"/>
      <c r="T56" s="388"/>
      <c r="U56" s="388"/>
      <c r="V56" s="649"/>
      <c r="W56" s="649"/>
    </row>
    <row r="57" spans="1:23">
      <c r="A57" s="477" t="s">
        <v>143</v>
      </c>
      <c r="B57" s="477"/>
      <c r="C57" s="477"/>
      <c r="D57" s="328"/>
      <c r="E57" s="328"/>
      <c r="F57" s="399"/>
      <c r="G57" s="399"/>
      <c r="H57" s="328"/>
      <c r="I57" s="328"/>
      <c r="J57" s="328"/>
      <c r="K57" s="328"/>
      <c r="L57" s="399"/>
      <c r="M57" s="328"/>
      <c r="N57" s="328"/>
      <c r="O57" s="328"/>
      <c r="P57" s="775"/>
      <c r="Q57" s="775"/>
      <c r="R57" s="564"/>
      <c r="S57" s="564"/>
      <c r="T57" s="388"/>
      <c r="U57" s="388"/>
      <c r="V57" s="649"/>
      <c r="W57" s="649"/>
    </row>
    <row r="58" spans="1:23">
      <c r="A58" s="477" t="s">
        <v>144</v>
      </c>
      <c r="B58" s="477"/>
      <c r="C58" s="477"/>
      <c r="D58" s="328"/>
      <c r="E58" s="328"/>
      <c r="F58" s="399"/>
      <c r="G58" s="399"/>
      <c r="H58" s="328"/>
      <c r="I58" s="328"/>
      <c r="J58" s="328"/>
      <c r="K58" s="328"/>
      <c r="L58" s="399"/>
      <c r="M58" s="328"/>
      <c r="N58" s="328"/>
      <c r="O58" s="328"/>
      <c r="P58" s="775"/>
      <c r="Q58" s="775"/>
      <c r="R58" s="564"/>
      <c r="S58" s="564"/>
      <c r="T58" s="388"/>
      <c r="U58" s="388"/>
      <c r="V58" s="649"/>
      <c r="W58" s="649"/>
    </row>
    <row r="59" spans="1:23">
      <c r="A59" s="477" t="s">
        <v>145</v>
      </c>
      <c r="B59" s="477"/>
      <c r="C59" s="477"/>
      <c r="D59" s="328"/>
      <c r="E59" s="328"/>
      <c r="F59" s="399"/>
      <c r="G59" s="399"/>
      <c r="H59" s="328"/>
      <c r="I59" s="328"/>
      <c r="J59" s="328"/>
      <c r="K59" s="328"/>
      <c r="L59" s="399"/>
      <c r="M59" s="328"/>
      <c r="N59" s="328"/>
      <c r="O59" s="328"/>
      <c r="P59" s="775"/>
      <c r="Q59" s="775"/>
      <c r="R59" s="564"/>
      <c r="S59" s="564"/>
      <c r="T59" s="388"/>
      <c r="U59" s="388"/>
      <c r="V59" s="649"/>
      <c r="W59" s="649"/>
    </row>
    <row r="60" spans="1:23">
      <c r="A60" s="629" t="s">
        <v>148</v>
      </c>
      <c r="B60" s="629"/>
      <c r="C60" s="629"/>
      <c r="D60" s="718"/>
      <c r="E60" s="718"/>
      <c r="F60" s="718"/>
      <c r="G60" s="487"/>
      <c r="H60" s="488"/>
      <c r="I60" s="488"/>
      <c r="J60" s="488"/>
      <c r="K60" s="488"/>
      <c r="L60" s="489"/>
      <c r="M60" s="489"/>
      <c r="N60" s="501"/>
      <c r="O60" s="501"/>
      <c r="P60" s="501"/>
      <c r="Q60" s="501"/>
      <c r="R60" s="501"/>
      <c r="S60" s="501"/>
      <c r="T60" s="501"/>
      <c r="U60" s="501"/>
      <c r="V60" s="501"/>
      <c r="W60" s="501"/>
    </row>
    <row r="61" spans="1:23">
      <c r="A61" s="477" t="s">
        <v>149</v>
      </c>
      <c r="B61" s="477"/>
      <c r="C61" s="477"/>
      <c r="D61" s="328"/>
      <c r="E61" s="328"/>
      <c r="F61" s="399"/>
      <c r="G61" s="399"/>
      <c r="H61" s="328"/>
      <c r="I61" s="328"/>
      <c r="J61" s="328"/>
      <c r="K61" s="328"/>
      <c r="L61" s="399"/>
      <c r="M61" s="328"/>
      <c r="N61" s="328"/>
      <c r="O61" s="328"/>
      <c r="P61" s="775"/>
      <c r="Q61" s="775"/>
      <c r="R61" s="564"/>
      <c r="S61" s="564"/>
      <c r="T61" s="388"/>
      <c r="U61" s="388"/>
      <c r="V61" s="649"/>
      <c r="W61" s="649"/>
    </row>
    <row r="62" spans="1:23">
      <c r="A62" s="477" t="s">
        <v>150</v>
      </c>
      <c r="B62" s="477"/>
      <c r="C62" s="477"/>
      <c r="D62" s="328"/>
      <c r="E62" s="328"/>
      <c r="F62" s="399"/>
      <c r="G62" s="399"/>
      <c r="H62" s="328"/>
      <c r="I62" s="328"/>
      <c r="J62" s="328"/>
      <c r="K62" s="328"/>
      <c r="L62" s="399"/>
      <c r="M62" s="328"/>
      <c r="N62" s="328"/>
      <c r="O62" s="328"/>
      <c r="P62" s="775"/>
      <c r="Q62" s="775"/>
      <c r="R62" s="564"/>
      <c r="S62" s="564"/>
      <c r="T62" s="388"/>
      <c r="U62" s="388"/>
      <c r="V62" s="649"/>
      <c r="W62" s="649"/>
    </row>
    <row r="63" spans="1:23">
      <c r="A63" s="477" t="s">
        <v>151</v>
      </c>
      <c r="B63" s="568">
        <v>668</v>
      </c>
      <c r="C63" s="477">
        <v>-668</v>
      </c>
      <c r="D63" s="461">
        <v>75</v>
      </c>
      <c r="E63" s="463"/>
      <c r="F63" s="399"/>
      <c r="G63" s="399"/>
      <c r="H63" s="328"/>
      <c r="I63" s="328"/>
      <c r="J63" s="328"/>
      <c r="K63" s="328"/>
      <c r="L63" s="399"/>
      <c r="M63" s="328"/>
      <c r="N63" s="328"/>
      <c r="O63" s="328"/>
      <c r="P63" s="775"/>
      <c r="Q63" s="775"/>
      <c r="R63" s="568">
        <f>B63</f>
        <v>668</v>
      </c>
      <c r="S63" s="568">
        <f>E63+C63</f>
        <v>-668</v>
      </c>
      <c r="T63" s="388"/>
      <c r="U63" s="388"/>
      <c r="V63" s="461">
        <f>D63</f>
        <v>75</v>
      </c>
      <c r="W63" s="461">
        <f>E63</f>
        <v>0</v>
      </c>
    </row>
    <row r="64" spans="1:23">
      <c r="A64" s="477" t="s">
        <v>151</v>
      </c>
      <c r="B64" s="477"/>
      <c r="C64" s="477"/>
      <c r="D64" s="650"/>
      <c r="E64" s="463"/>
      <c r="F64" s="399"/>
      <c r="G64" s="399"/>
      <c r="H64" s="328"/>
      <c r="I64" s="328"/>
      <c r="J64" s="328"/>
      <c r="K64" s="328"/>
      <c r="L64" s="399"/>
      <c r="M64" s="328"/>
      <c r="N64" s="328"/>
      <c r="O64" s="328"/>
      <c r="P64" s="775"/>
      <c r="Q64" s="775"/>
      <c r="R64" s="568"/>
      <c r="S64" s="568"/>
      <c r="T64" s="388"/>
      <c r="U64" s="388"/>
      <c r="V64" s="649"/>
      <c r="W64" s="746"/>
    </row>
    <row r="65" spans="1:23">
      <c r="A65" s="477" t="s">
        <v>151</v>
      </c>
      <c r="B65" s="388">
        <v>15</v>
      </c>
      <c r="C65" s="477">
        <v>-15</v>
      </c>
      <c r="D65" s="650"/>
      <c r="E65" s="463"/>
      <c r="F65" s="399"/>
      <c r="G65" s="399"/>
      <c r="H65" s="745"/>
      <c r="I65" s="745"/>
      <c r="J65" s="745"/>
      <c r="K65" s="745"/>
      <c r="L65" s="399"/>
      <c r="M65" s="745"/>
      <c r="N65" s="745"/>
      <c r="O65" s="745"/>
      <c r="P65" s="775"/>
      <c r="Q65" s="775"/>
      <c r="R65" s="568"/>
      <c r="S65" s="568"/>
      <c r="T65" s="388">
        <f>B65</f>
        <v>15</v>
      </c>
      <c r="U65" s="388">
        <f>C65</f>
        <v>-15</v>
      </c>
      <c r="V65" s="746"/>
      <c r="W65" s="746"/>
    </row>
    <row r="66" spans="1:23">
      <c r="A66" s="477" t="s">
        <v>152</v>
      </c>
      <c r="B66" s="477"/>
      <c r="C66" s="477"/>
      <c r="D66" s="328"/>
      <c r="E66" s="328"/>
      <c r="F66" s="399"/>
      <c r="G66" s="399"/>
      <c r="H66" s="328"/>
      <c r="I66" s="328"/>
      <c r="J66" s="328"/>
      <c r="K66" s="328"/>
      <c r="L66" s="399"/>
      <c r="M66" s="328"/>
      <c r="N66" s="328"/>
      <c r="O66" s="328"/>
      <c r="P66" s="775"/>
      <c r="Q66" s="775"/>
      <c r="R66" s="564"/>
      <c r="S66" s="564"/>
      <c r="T66" s="388"/>
      <c r="U66" s="388"/>
      <c r="V66" s="649"/>
      <c r="W66" s="649"/>
    </row>
    <row r="67" spans="1:23">
      <c r="A67" s="629" t="s">
        <v>153</v>
      </c>
      <c r="B67" s="629"/>
      <c r="C67" s="629"/>
      <c r="D67" s="718"/>
      <c r="E67" s="718"/>
      <c r="F67" s="718"/>
      <c r="G67" s="487"/>
      <c r="H67" s="488"/>
      <c r="I67" s="488"/>
      <c r="J67" s="488"/>
      <c r="K67" s="488"/>
      <c r="L67" s="489"/>
      <c r="M67" s="489"/>
      <c r="N67" s="501"/>
      <c r="O67" s="501"/>
      <c r="P67" s="501"/>
      <c r="Q67" s="501"/>
      <c r="R67" s="501"/>
      <c r="S67" s="501"/>
      <c r="T67" s="501"/>
      <c r="U67" s="501"/>
      <c r="V67" s="501"/>
      <c r="W67" s="501"/>
    </row>
    <row r="68" spans="1:23">
      <c r="A68" s="477" t="s">
        <v>343</v>
      </c>
      <c r="B68" s="775">
        <v>95</v>
      </c>
      <c r="C68" s="477">
        <f>-84-10.96</f>
        <v>-94.960000000000008</v>
      </c>
      <c r="D68" s="328"/>
      <c r="E68" s="328"/>
      <c r="F68" s="399"/>
      <c r="G68" s="399"/>
      <c r="H68" s="328"/>
      <c r="I68" s="328"/>
      <c r="J68" s="328"/>
      <c r="K68" s="328"/>
      <c r="L68" s="399"/>
      <c r="M68" s="328"/>
      <c r="N68" s="328"/>
      <c r="O68" s="328"/>
      <c r="P68" s="775">
        <f>B68</f>
        <v>95</v>
      </c>
      <c r="Q68" s="775">
        <f>C68</f>
        <v>-94.960000000000008</v>
      </c>
      <c r="R68" s="564"/>
      <c r="S68" s="564"/>
      <c r="T68" s="388"/>
      <c r="U68" s="388"/>
      <c r="V68" s="649"/>
      <c r="W68" s="649"/>
    </row>
    <row r="69" spans="1:23">
      <c r="A69" s="477" t="s">
        <v>129</v>
      </c>
      <c r="B69" s="477"/>
      <c r="C69" s="477"/>
      <c r="D69" s="328"/>
      <c r="E69" s="328"/>
      <c r="F69" s="399"/>
      <c r="G69" s="399"/>
      <c r="H69" s="328"/>
      <c r="I69" s="328"/>
      <c r="J69" s="328"/>
      <c r="K69" s="328"/>
      <c r="L69" s="399"/>
      <c r="M69" s="328"/>
      <c r="N69" s="328"/>
      <c r="O69" s="328"/>
      <c r="P69" s="775"/>
      <c r="Q69" s="775"/>
      <c r="R69" s="564"/>
      <c r="S69" s="564"/>
      <c r="T69" s="388"/>
      <c r="U69" s="388"/>
      <c r="V69" s="649"/>
      <c r="W69" s="649"/>
    </row>
    <row r="70" spans="1:23">
      <c r="A70" s="477" t="s">
        <v>157</v>
      </c>
      <c r="B70" s="477"/>
      <c r="C70" s="477"/>
      <c r="D70" s="328"/>
      <c r="E70" s="328"/>
      <c r="F70" s="399"/>
      <c r="G70" s="399"/>
      <c r="H70" s="328"/>
      <c r="I70" s="328"/>
      <c r="J70" s="328"/>
      <c r="K70" s="328"/>
      <c r="L70" s="399"/>
      <c r="M70" s="328"/>
      <c r="N70" s="328"/>
      <c r="O70" s="328"/>
      <c r="P70" s="775"/>
      <c r="Q70" s="775"/>
      <c r="R70" s="564"/>
      <c r="S70" s="564"/>
      <c r="T70" s="388"/>
      <c r="U70" s="388"/>
      <c r="V70" s="649"/>
      <c r="W70" s="649"/>
    </row>
    <row r="71" spans="1:23">
      <c r="A71" s="477" t="s">
        <v>158</v>
      </c>
      <c r="B71" s="477"/>
      <c r="C71" s="477"/>
      <c r="D71" s="328"/>
      <c r="E71" s="328"/>
      <c r="F71" s="399"/>
      <c r="G71" s="399"/>
      <c r="H71" s="328"/>
      <c r="I71" s="328"/>
      <c r="J71" s="328"/>
      <c r="K71" s="328"/>
      <c r="L71" s="399"/>
      <c r="M71" s="328"/>
      <c r="N71" s="328"/>
      <c r="O71" s="328"/>
      <c r="P71" s="775"/>
      <c r="Q71" s="775"/>
      <c r="R71" s="564"/>
      <c r="S71" s="564"/>
      <c r="T71" s="388"/>
      <c r="U71" s="388"/>
      <c r="V71" s="649"/>
      <c r="W71" s="649"/>
    </row>
    <row r="72" spans="1:23">
      <c r="A72" s="629" t="s">
        <v>160</v>
      </c>
      <c r="B72" s="629"/>
      <c r="C72" s="629"/>
      <c r="D72" s="718"/>
      <c r="E72" s="718"/>
      <c r="F72" s="718"/>
      <c r="G72" s="487"/>
      <c r="H72" s="488"/>
      <c r="I72" s="488"/>
      <c r="J72" s="488"/>
      <c r="K72" s="488"/>
      <c r="L72" s="489"/>
      <c r="M72" s="489"/>
      <c r="N72" s="501"/>
      <c r="O72" s="501"/>
      <c r="P72" s="501"/>
      <c r="Q72" s="501"/>
      <c r="R72" s="501"/>
      <c r="S72" s="501"/>
      <c r="T72" s="501"/>
      <c r="U72" s="501"/>
      <c r="V72" s="501"/>
      <c r="W72" s="501"/>
    </row>
    <row r="73" spans="1:23">
      <c r="A73" s="477" t="s">
        <v>161</v>
      </c>
      <c r="B73" s="477"/>
      <c r="C73" s="477"/>
      <c r="D73" s="328"/>
      <c r="E73" s="328"/>
      <c r="F73" s="399"/>
      <c r="G73" s="399"/>
      <c r="H73" s="328"/>
      <c r="I73" s="328"/>
      <c r="J73" s="328"/>
      <c r="K73" s="328"/>
      <c r="L73" s="399"/>
      <c r="M73" s="328"/>
      <c r="N73" s="328"/>
      <c r="O73" s="328"/>
      <c r="P73" s="775"/>
      <c r="Q73" s="775"/>
      <c r="R73" s="564"/>
      <c r="S73" s="564"/>
      <c r="T73" s="388"/>
      <c r="U73" s="388"/>
      <c r="V73" s="649"/>
      <c r="W73" s="649"/>
    </row>
    <row r="74" spans="1:23">
      <c r="A74" s="477" t="s">
        <v>162</v>
      </c>
      <c r="B74" s="477"/>
      <c r="C74" s="477"/>
      <c r="D74" s="328"/>
      <c r="E74" s="328"/>
      <c r="F74" s="399"/>
      <c r="G74" s="399"/>
      <c r="H74" s="781"/>
      <c r="I74" s="781"/>
      <c r="J74" s="781"/>
      <c r="K74" s="781"/>
      <c r="L74" s="781"/>
      <c r="M74" s="328"/>
      <c r="N74" s="328"/>
      <c r="O74" s="328"/>
      <c r="P74" s="775"/>
      <c r="Q74" s="775"/>
      <c r="R74" s="564"/>
      <c r="S74" s="564"/>
      <c r="T74" s="388"/>
      <c r="U74" s="388"/>
      <c r="V74" s="649"/>
      <c r="W74" s="649"/>
    </row>
    <row r="75" spans="1:23">
      <c r="A75" s="477" t="s">
        <v>163</v>
      </c>
      <c r="B75" s="477"/>
      <c r="C75" s="477"/>
      <c r="D75" s="328"/>
      <c r="E75" s="328"/>
      <c r="F75" s="481"/>
      <c r="G75" s="481"/>
      <c r="H75" s="328"/>
      <c r="I75" s="328"/>
      <c r="J75" s="328"/>
      <c r="K75" s="328"/>
      <c r="L75" s="399"/>
      <c r="M75" s="328"/>
      <c r="N75" s="328"/>
      <c r="O75" s="328"/>
      <c r="P75" s="775"/>
      <c r="Q75" s="775"/>
      <c r="R75" s="564"/>
      <c r="S75" s="564"/>
      <c r="T75" s="388"/>
      <c r="U75" s="388"/>
      <c r="V75" s="649"/>
      <c r="W75" s="649"/>
    </row>
    <row r="76" spans="1:23">
      <c r="A76" s="477" t="s">
        <v>164</v>
      </c>
      <c r="B76" s="477"/>
      <c r="C76" s="477"/>
      <c r="D76" s="328"/>
      <c r="E76" s="328"/>
      <c r="F76" s="399"/>
      <c r="G76" s="399"/>
      <c r="H76" s="388">
        <v>381.1</v>
      </c>
      <c r="I76" s="328">
        <v>-381</v>
      </c>
      <c r="J76" s="463"/>
      <c r="K76" s="328"/>
      <c r="L76" s="463"/>
      <c r="M76" s="328"/>
      <c r="N76" s="328"/>
      <c r="O76" s="328"/>
      <c r="P76" s="775"/>
      <c r="Q76" s="775"/>
      <c r="R76" s="564"/>
      <c r="S76" s="564"/>
      <c r="T76" s="388">
        <f>H76</f>
        <v>381.1</v>
      </c>
      <c r="U76" s="388">
        <f>I76</f>
        <v>-381</v>
      </c>
      <c r="V76" s="649"/>
      <c r="W76" s="649"/>
    </row>
    <row r="77" spans="1:23">
      <c r="A77" s="477" t="s">
        <v>164</v>
      </c>
      <c r="B77" s="477"/>
      <c r="C77" s="477"/>
      <c r="D77" s="811"/>
      <c r="E77" s="811"/>
      <c r="F77" s="399"/>
      <c r="G77" s="399"/>
      <c r="H77" s="812">
        <v>6005.76</v>
      </c>
      <c r="I77" s="811">
        <f>-195-2210.76-3600</f>
        <v>-6005.76</v>
      </c>
      <c r="J77" s="463"/>
      <c r="K77" s="811"/>
      <c r="L77" s="463"/>
      <c r="M77" s="811"/>
      <c r="N77" s="811"/>
      <c r="O77" s="811"/>
      <c r="P77" s="813"/>
      <c r="Q77" s="813"/>
      <c r="R77" s="812">
        <f>H77</f>
        <v>6005.76</v>
      </c>
      <c r="S77" s="812">
        <f>I77</f>
        <v>-6005.76</v>
      </c>
      <c r="T77" s="388"/>
      <c r="U77" s="388"/>
      <c r="V77" s="815"/>
      <c r="W77" s="815"/>
    </row>
    <row r="78" spans="1:23">
      <c r="A78" s="477" t="s">
        <v>165</v>
      </c>
      <c r="B78" s="477"/>
      <c r="C78" s="477"/>
      <c r="D78" s="326"/>
      <c r="E78" s="326"/>
      <c r="F78" s="399"/>
      <c r="G78" s="399"/>
      <c r="H78" s="328"/>
      <c r="I78" s="328"/>
      <c r="J78" s="328"/>
      <c r="K78" s="328"/>
      <c r="L78" s="399"/>
      <c r="M78" s="328"/>
      <c r="N78" s="326"/>
      <c r="O78" s="326"/>
      <c r="P78" s="777"/>
      <c r="Q78" s="777"/>
      <c r="R78" s="565"/>
      <c r="S78" s="565"/>
      <c r="T78" s="388"/>
      <c r="U78" s="388"/>
      <c r="V78" s="461"/>
      <c r="W78" s="461"/>
    </row>
    <row r="79" spans="1:23">
      <c r="A79" s="629">
        <f>'AVP  Health'!A98</f>
        <v>0</v>
      </c>
      <c r="B79" s="629"/>
      <c r="C79" s="629"/>
      <c r="D79" s="718"/>
      <c r="E79" s="718"/>
      <c r="F79" s="718"/>
      <c r="G79" s="487"/>
      <c r="H79" s="488"/>
      <c r="I79" s="488"/>
      <c r="J79" s="488"/>
      <c r="K79" s="488"/>
      <c r="L79" s="489"/>
      <c r="M79" s="489"/>
      <c r="N79" s="501"/>
      <c r="O79" s="501"/>
      <c r="P79" s="501"/>
      <c r="Q79" s="501"/>
      <c r="R79" s="501"/>
      <c r="S79" s="501"/>
      <c r="T79" s="501"/>
      <c r="U79" s="501"/>
      <c r="V79" s="501"/>
      <c r="W79" s="501"/>
    </row>
    <row r="80" spans="1:23">
      <c r="A80" s="491" t="str">
        <f>'AVP  Health'!A99</f>
        <v>Revenue</v>
      </c>
      <c r="B80" s="491"/>
      <c r="C80" s="491"/>
      <c r="D80" s="328"/>
      <c r="E80" s="328"/>
      <c r="F80" s="399"/>
      <c r="G80" s="399"/>
      <c r="H80" s="389"/>
      <c r="I80" s="328"/>
      <c r="J80" s="328"/>
      <c r="K80" s="328"/>
      <c r="L80" s="650"/>
      <c r="M80" s="328"/>
      <c r="N80" s="326"/>
      <c r="O80" s="326"/>
      <c r="P80" s="777"/>
      <c r="Q80" s="777"/>
      <c r="R80" s="568"/>
      <c r="S80" s="568"/>
      <c r="T80" s="388"/>
      <c r="U80" s="388"/>
      <c r="V80" s="461"/>
      <c r="W80" s="461"/>
    </row>
    <row r="81" spans="1:23">
      <c r="A81" s="477" t="s">
        <v>171</v>
      </c>
      <c r="B81" s="35"/>
      <c r="C81" s="35"/>
      <c r="D81" s="328"/>
      <c r="E81" s="328"/>
      <c r="F81" s="399"/>
      <c r="G81" s="399"/>
      <c r="H81" s="328"/>
      <c r="I81" s="328"/>
      <c r="J81" s="328"/>
      <c r="K81" s="328"/>
      <c r="L81" s="399"/>
      <c r="M81" s="328"/>
      <c r="N81" s="326"/>
      <c r="O81" s="326"/>
      <c r="P81" s="777"/>
      <c r="Q81" s="777"/>
      <c r="R81" s="565"/>
      <c r="S81" s="565"/>
      <c r="T81" s="388"/>
      <c r="U81" s="388"/>
      <c r="V81" s="461"/>
      <c r="W81" s="461"/>
    </row>
    <row r="82" spans="1:23">
      <c r="A82" s="712" t="s">
        <v>28</v>
      </c>
      <c r="B82" s="463">
        <f>B68+B65+B63</f>
        <v>778</v>
      </c>
      <c r="C82" s="463">
        <f>SUM(C48:C81)</f>
        <v>-777.96</v>
      </c>
      <c r="D82" s="328">
        <f t="shared" ref="D82:E82" si="2">SUM(D47:D81)</f>
        <v>75</v>
      </c>
      <c r="E82" s="328">
        <f t="shared" si="2"/>
        <v>0</v>
      </c>
      <c r="F82" s="399">
        <f>SUM(F48:F81)</f>
        <v>0</v>
      </c>
      <c r="G82" s="399">
        <f>SUM(G48:G81)</f>
        <v>0</v>
      </c>
      <c r="H82" s="328">
        <f>SUM(H47:H81)</f>
        <v>9136.86</v>
      </c>
      <c r="I82" s="328">
        <f>SUM(I47:I81)</f>
        <v>-8290.9500000000007</v>
      </c>
      <c r="J82" s="328">
        <f>SUM(J47:J81)</f>
        <v>1250</v>
      </c>
      <c r="K82" s="328">
        <f>SUM(K47:K81)</f>
        <v>-451.33</v>
      </c>
      <c r="L82" s="328">
        <f t="shared" ref="L82:Q82" si="3">SUM(L47:L81)</f>
        <v>0</v>
      </c>
      <c r="M82" s="328">
        <f t="shared" si="3"/>
        <v>0</v>
      </c>
      <c r="N82" s="328">
        <f t="shared" si="3"/>
        <v>0</v>
      </c>
      <c r="O82" s="328">
        <f t="shared" si="3"/>
        <v>0</v>
      </c>
      <c r="P82" s="777">
        <f t="shared" si="3"/>
        <v>530</v>
      </c>
      <c r="Q82" s="777">
        <f t="shared" si="3"/>
        <v>-529.96</v>
      </c>
      <c r="R82" s="564">
        <f>SUM(R47:R81)</f>
        <v>6673.76</v>
      </c>
      <c r="S82" s="564">
        <f>SUM(S47:S81)</f>
        <v>-6673.76</v>
      </c>
      <c r="T82" s="349">
        <f>SUM(T47:T81)</f>
        <v>4396.1000000000004</v>
      </c>
      <c r="U82" s="349">
        <f>SUM(U47:U81)</f>
        <v>-2751.52</v>
      </c>
      <c r="V82" s="461">
        <f t="shared" ref="V82:W82" si="4">SUM(V47:V81)</f>
        <v>75</v>
      </c>
      <c r="W82" s="461">
        <f t="shared" si="4"/>
        <v>0</v>
      </c>
    </row>
    <row r="83" spans="1:23">
      <c r="A83" s="35"/>
      <c r="B83" s="321"/>
      <c r="C83" s="321"/>
      <c r="D83" s="321"/>
      <c r="E83" s="321"/>
      <c r="F83" s="351"/>
      <c r="G83" s="351"/>
      <c r="H83" s="350"/>
      <c r="I83" s="350"/>
      <c r="J83" s="350"/>
      <c r="K83" s="350"/>
      <c r="L83" s="321"/>
      <c r="M83" s="321"/>
      <c r="N83" s="351"/>
      <c r="O83" s="351"/>
      <c r="P83" s="321">
        <f>P82</f>
        <v>530</v>
      </c>
      <c r="Q83" s="321">
        <f>Q82</f>
        <v>-529.96</v>
      </c>
      <c r="R83" s="517">
        <f>R82+R39</f>
        <v>9215.630000000001</v>
      </c>
      <c r="S83" s="321">
        <f>S82+S39</f>
        <v>-9215.630000000001</v>
      </c>
      <c r="T83" s="321">
        <f>T82+T39</f>
        <v>8146.1</v>
      </c>
      <c r="U83" s="321">
        <f>U82+U39</f>
        <v>-4006.3199999999997</v>
      </c>
      <c r="V83" s="35">
        <f>V39+V82</f>
        <v>30125.75</v>
      </c>
      <c r="W83" s="35">
        <f>W39+W82</f>
        <v>-18653.940000000002</v>
      </c>
    </row>
    <row r="84" spans="1:23">
      <c r="A84" s="713" t="s">
        <v>27</v>
      </c>
      <c r="W84" s="35"/>
    </row>
    <row r="85" spans="1:23">
      <c r="A85" s="444"/>
      <c r="B85" s="444"/>
      <c r="C85" s="444"/>
      <c r="D85" s="321"/>
      <c r="E85" s="321"/>
      <c r="F85" s="35"/>
      <c r="G85" s="35"/>
      <c r="H85" s="321"/>
      <c r="I85" s="321"/>
      <c r="J85" s="321"/>
      <c r="K85" s="321"/>
      <c r="L85" s="35"/>
      <c r="M85" s="35"/>
      <c r="N85" s="35"/>
      <c r="O85" s="35"/>
      <c r="P85" s="35"/>
      <c r="Q85" s="35"/>
      <c r="R85" s="35"/>
      <c r="S85" s="35"/>
      <c r="T85" s="352"/>
      <c r="U85" s="352"/>
      <c r="V85" s="35"/>
      <c r="W85" s="35"/>
    </row>
    <row r="86" spans="1:23">
      <c r="B86" s="316"/>
      <c r="C86" s="316"/>
      <c r="O86" s="316"/>
      <c r="P86" s="316"/>
      <c r="Q86" s="316"/>
      <c r="R86" s="347">
        <f>P83+T83+V83+R83</f>
        <v>48017.479999999996</v>
      </c>
      <c r="S86" s="347">
        <f>Q83+S83+U83+W83</f>
        <v>-32405.850000000002</v>
      </c>
      <c r="T86" s="316"/>
      <c r="U86" s="316"/>
      <c r="V86" s="316"/>
      <c r="W86" s="316"/>
    </row>
    <row r="87" spans="1:23">
      <c r="R87" s="517">
        <f>N82+L82+J82+H82+F82+D82+B82+N39+L39+J39+H39+B39</f>
        <v>48017.48</v>
      </c>
      <c r="S87" s="517">
        <f>C82+E82+G82+I82+K82+M82+O82+Q8+O39+M39+K39+I39+G39+F39+E39+D39+C39</f>
        <v>-32405.85</v>
      </c>
      <c r="T87" s="351"/>
      <c r="U87" s="351"/>
    </row>
    <row r="88" spans="1:23">
      <c r="R88" s="517">
        <f>R86-R87</f>
        <v>0</v>
      </c>
      <c r="S88" s="517">
        <f>S86-S87</f>
        <v>0</v>
      </c>
      <c r="T88" s="353"/>
      <c r="U88" s="353"/>
    </row>
    <row r="89" spans="1:23">
      <c r="U89" s="517"/>
    </row>
    <row r="90" spans="1:23">
      <c r="U90" s="517"/>
    </row>
  </sheetData>
  <mergeCells count="19">
    <mergeCell ref="V1:W1"/>
    <mergeCell ref="B1:G1"/>
    <mergeCell ref="H1:I1"/>
    <mergeCell ref="T1:U1"/>
    <mergeCell ref="N1:O1"/>
    <mergeCell ref="J1:K1"/>
    <mergeCell ref="L1:M1"/>
    <mergeCell ref="R1:S1"/>
    <mergeCell ref="B45:C45"/>
    <mergeCell ref="D45:E45"/>
    <mergeCell ref="F45:G45"/>
    <mergeCell ref="H45:I45"/>
    <mergeCell ref="J45:K45"/>
    <mergeCell ref="L45:M45"/>
    <mergeCell ref="N45:O45"/>
    <mergeCell ref="R45:S45"/>
    <mergeCell ref="T45:U45"/>
    <mergeCell ref="V45:W45"/>
    <mergeCell ref="P45:Q45"/>
  </mergeCells>
  <printOptions gridLines="1"/>
  <pageMargins left="0.2" right="0.2" top="0.75" bottom="0.75" header="0.3" footer="0.3"/>
  <pageSetup paperSize="17" scale="66" orientation="landscape" r:id="rId1"/>
  <headerFooter>
    <oddHeader xml:space="preserve">&amp;L&amp;8 4/2/19&amp;CPrincipal Gifts and Major Gift Projections
 2019 and 2020
</oddHeader>
    <oddFooter>&amp;L&amp;A&amp;C&amp;"-,Bold"USF Health Confidential&amp;RPage &amp;P</oddFooter>
  </headerFooter>
  <rowBreaks count="2" manualBreakCount="2">
    <brk id="54" max="16383" man="1"/>
    <brk id="87" max="16383" man="1"/>
  </rowBreaks>
  <colBreaks count="2" manualBreakCount="2">
    <brk id="8" max="1048575" man="1"/>
    <brk id="29" max="1048575" man="1"/>
  </col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O71"/>
  <sheetViews>
    <sheetView zoomScale="90" zoomScaleNormal="90" zoomScaleSheetLayoutView="90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O9" sqref="O9"/>
    </sheetView>
  </sheetViews>
  <sheetFormatPr defaultColWidth="9.28515625" defaultRowHeight="12"/>
  <cols>
    <col min="1" max="1" width="29.7109375" style="305" bestFit="1" customWidth="1"/>
    <col min="2" max="2" width="9.140625" style="347" bestFit="1" customWidth="1"/>
    <col min="3" max="3" width="9.7109375" style="347" bestFit="1" customWidth="1"/>
    <col min="4" max="4" width="7.5703125" style="347" bestFit="1" customWidth="1"/>
    <col min="5" max="5" width="8.28515625" style="347" bestFit="1" customWidth="1"/>
    <col min="6" max="6" width="9.140625" style="357" bestFit="1" customWidth="1"/>
    <col min="7" max="7" width="8.7109375" style="357" bestFit="1" customWidth="1"/>
    <col min="8" max="9" width="9.7109375" style="394" bestFit="1" customWidth="1"/>
    <col min="10" max="10" width="8.28515625" style="357" bestFit="1" customWidth="1"/>
    <col min="11" max="11" width="9.7109375" style="357" bestFit="1" customWidth="1"/>
    <col min="12" max="12" width="9.140625" style="357" bestFit="1" customWidth="1"/>
    <col min="13" max="14" width="5" style="357" bestFit="1" customWidth="1"/>
    <col min="15" max="15" width="9.5703125" style="357" customWidth="1"/>
    <col min="16" max="16" width="8.28515625" style="357" bestFit="1" customWidth="1"/>
    <col min="17" max="17" width="10.140625" style="357" customWidth="1"/>
    <col min="18" max="18" width="12.5703125" style="394" customWidth="1"/>
    <col min="19" max="19" width="9.7109375" style="394" bestFit="1" customWidth="1"/>
    <col min="20" max="20" width="9.140625" style="358" bestFit="1" customWidth="1"/>
    <col min="21" max="21" width="8.28515625" style="358" bestFit="1" customWidth="1"/>
    <col min="22" max="22" width="8.28515625" style="394" bestFit="1" customWidth="1"/>
    <col min="23" max="23" width="10.140625" style="394" bestFit="1" customWidth="1"/>
    <col min="24" max="24" width="9.7109375" style="394" bestFit="1" customWidth="1"/>
    <col min="25" max="25" width="8.28515625" style="394" bestFit="1" customWidth="1"/>
    <col min="26" max="26" width="9.140625" style="394" bestFit="1" customWidth="1"/>
    <col min="27" max="27" width="8.28515625" style="394" bestFit="1" customWidth="1"/>
    <col min="28" max="31" width="8.28515625" style="305" bestFit="1" customWidth="1"/>
    <col min="32" max="32" width="9.5703125" style="305" customWidth="1"/>
    <col min="33" max="16384" width="9.28515625" style="305"/>
  </cols>
  <sheetData>
    <row r="1" spans="1:41" s="317" customFormat="1" ht="36" customHeight="1">
      <c r="A1" s="319"/>
      <c r="B1" s="924" t="s">
        <v>109</v>
      </c>
      <c r="C1" s="934"/>
      <c r="D1" s="924" t="s">
        <v>289</v>
      </c>
      <c r="E1" s="934"/>
      <c r="F1" s="924" t="s">
        <v>290</v>
      </c>
      <c r="G1" s="934"/>
      <c r="H1" s="926" t="s">
        <v>342</v>
      </c>
      <c r="I1" s="927"/>
      <c r="J1" s="924" t="s">
        <v>103</v>
      </c>
      <c r="K1" s="934"/>
      <c r="L1" s="924" t="s">
        <v>261</v>
      </c>
      <c r="M1" s="934"/>
      <c r="N1" s="924" t="s">
        <v>281</v>
      </c>
      <c r="O1" s="934"/>
      <c r="P1" s="924" t="s">
        <v>282</v>
      </c>
      <c r="Q1" s="934"/>
      <c r="R1" s="924" t="s">
        <v>242</v>
      </c>
      <c r="S1" s="934"/>
      <c r="T1" s="924" t="s">
        <v>91</v>
      </c>
      <c r="U1" s="934"/>
      <c r="V1" s="924" t="s">
        <v>179</v>
      </c>
      <c r="W1" s="934"/>
      <c r="X1" s="924" t="s">
        <v>127</v>
      </c>
      <c r="Y1" s="934"/>
      <c r="Z1" s="917" t="s">
        <v>222</v>
      </c>
      <c r="AA1" s="918"/>
      <c r="AB1" s="894" t="s">
        <v>352</v>
      </c>
      <c r="AC1" s="894"/>
      <c r="AD1" s="935" t="s">
        <v>99</v>
      </c>
      <c r="AE1" s="936"/>
      <c r="AF1" s="937" t="s">
        <v>360</v>
      </c>
      <c r="AG1" s="938"/>
      <c r="AH1" s="884" t="s">
        <v>207</v>
      </c>
      <c r="AI1" s="885"/>
    </row>
    <row r="2" spans="1:41" s="318" customFormat="1" ht="26.25" customHeight="1">
      <c r="A2" s="449"/>
      <c r="B2" s="355" t="s">
        <v>4</v>
      </c>
      <c r="C2" s="355" t="s">
        <v>94</v>
      </c>
      <c r="D2" s="355"/>
      <c r="E2" s="355"/>
      <c r="F2" s="355" t="s">
        <v>4</v>
      </c>
      <c r="G2" s="391" t="s">
        <v>93</v>
      </c>
      <c r="H2" s="462" t="s">
        <v>4</v>
      </c>
      <c r="I2" s="328" t="s">
        <v>93</v>
      </c>
      <c r="J2" s="367" t="s">
        <v>4</v>
      </c>
      <c r="K2" s="368" t="s">
        <v>93</v>
      </c>
      <c r="L2" s="355" t="s">
        <v>4</v>
      </c>
      <c r="M2" s="391" t="s">
        <v>93</v>
      </c>
      <c r="N2" s="391"/>
      <c r="O2" s="391"/>
      <c r="P2" s="391"/>
      <c r="Q2" s="391"/>
      <c r="R2" s="355" t="s">
        <v>4</v>
      </c>
      <c r="S2" s="391" t="s">
        <v>93</v>
      </c>
      <c r="T2" s="368" t="s">
        <v>24</v>
      </c>
      <c r="U2" s="368" t="s">
        <v>93</v>
      </c>
      <c r="V2" s="355" t="s">
        <v>4</v>
      </c>
      <c r="W2" s="355" t="s">
        <v>93</v>
      </c>
      <c r="X2" s="355" t="s">
        <v>4</v>
      </c>
      <c r="Y2" s="367" t="s">
        <v>94</v>
      </c>
      <c r="Z2" s="569" t="s">
        <v>4</v>
      </c>
      <c r="AA2" s="569" t="s">
        <v>93</v>
      </c>
      <c r="AB2" s="793" t="s">
        <v>259</v>
      </c>
      <c r="AC2" s="793" t="s">
        <v>93</v>
      </c>
      <c r="AD2" s="392" t="s">
        <v>4</v>
      </c>
      <c r="AE2" s="392" t="s">
        <v>94</v>
      </c>
      <c r="AF2" s="509"/>
      <c r="AG2" s="509"/>
      <c r="AH2" s="799" t="s">
        <v>4</v>
      </c>
      <c r="AI2" s="799" t="s">
        <v>94</v>
      </c>
      <c r="AJ2" s="1"/>
      <c r="AK2" s="1"/>
      <c r="AL2" s="1"/>
      <c r="AM2" s="1"/>
      <c r="AN2" s="1"/>
      <c r="AO2" s="1"/>
    </row>
    <row r="3" spans="1:41" s="56" customFormat="1" ht="15">
      <c r="A3" s="502" t="s">
        <v>146</v>
      </c>
      <c r="B3" s="486"/>
      <c r="C3" s="486"/>
      <c r="D3" s="486"/>
      <c r="E3" s="486"/>
      <c r="F3" s="486"/>
      <c r="G3" s="486"/>
      <c r="H3" s="512"/>
      <c r="I3" s="512"/>
      <c r="J3" s="486"/>
      <c r="K3" s="486"/>
      <c r="L3" s="486"/>
      <c r="M3" s="486"/>
      <c r="N3" s="486"/>
      <c r="O3" s="486"/>
      <c r="P3" s="486"/>
      <c r="Q3" s="486"/>
      <c r="R3" s="486"/>
      <c r="S3" s="486"/>
      <c r="T3" s="486"/>
      <c r="U3" s="486"/>
      <c r="V3" s="486"/>
      <c r="W3" s="486"/>
      <c r="X3" s="488"/>
      <c r="Y3" s="488"/>
      <c r="Z3" s="486"/>
      <c r="AA3" s="486"/>
      <c r="AB3" s="486"/>
      <c r="AC3" s="486"/>
      <c r="AD3" s="488"/>
      <c r="AE3" s="488"/>
      <c r="AF3" s="488"/>
      <c r="AG3" s="488"/>
      <c r="AH3" s="488"/>
      <c r="AI3" s="488"/>
      <c r="AJ3" s="1"/>
      <c r="AK3" s="1"/>
      <c r="AL3" s="1"/>
      <c r="AM3" s="1"/>
      <c r="AN3" s="1"/>
      <c r="AO3" s="1"/>
    </row>
    <row r="4" spans="1:41" s="1" customFormat="1" ht="15">
      <c r="A4" s="477" t="s">
        <v>154</v>
      </c>
      <c r="B4" s="328"/>
      <c r="C4" s="328"/>
      <c r="D4" s="328"/>
      <c r="E4" s="328"/>
      <c r="F4" s="355"/>
      <c r="G4" s="355"/>
      <c r="H4" s="874"/>
      <c r="I4" s="874"/>
      <c r="J4" s="873"/>
      <c r="K4" s="873"/>
      <c r="L4" s="355"/>
      <c r="M4" s="355"/>
      <c r="N4" s="355"/>
      <c r="O4" s="355"/>
      <c r="P4" s="504"/>
      <c r="Q4" s="355"/>
      <c r="R4" s="504">
        <v>200</v>
      </c>
      <c r="S4" s="355">
        <f>-24.66-30.49-28.55-34.83-6-10.37-10.37</f>
        <v>-145.27000000000001</v>
      </c>
      <c r="T4" s="504">
        <v>200</v>
      </c>
      <c r="U4" s="369">
        <f>-28.39-18.96-9.17-43.53-9.12-49.11</f>
        <v>-158.28000000000003</v>
      </c>
      <c r="V4" s="532">
        <v>350</v>
      </c>
      <c r="W4" s="355">
        <f>-40.59-76.42-10.41-9.88-11.39-12.28-5.94-44.58</f>
        <v>-211.49</v>
      </c>
      <c r="X4" s="504">
        <v>600</v>
      </c>
      <c r="Y4" s="384">
        <f>-22.43-192.18-19.45-35.04-21.8-46.32-9.7</f>
        <v>-346.92</v>
      </c>
      <c r="Z4" s="570"/>
      <c r="AA4" s="570"/>
      <c r="AB4" s="520"/>
      <c r="AC4" s="520"/>
      <c r="AD4" s="349">
        <f>X4+V4+T4+R4+P4</f>
        <v>1350</v>
      </c>
      <c r="AE4" s="349">
        <f>Y4+W4+U4+S4</f>
        <v>-861.96</v>
      </c>
      <c r="AF4" s="509"/>
      <c r="AG4" s="509"/>
      <c r="AH4" s="616"/>
      <c r="AI4" s="616"/>
    </row>
    <row r="5" spans="1:41" s="1" customFormat="1" ht="15">
      <c r="A5" s="477" t="s">
        <v>140</v>
      </c>
      <c r="B5" s="399"/>
      <c r="C5" s="399"/>
      <c r="D5" s="399"/>
      <c r="E5" s="399"/>
      <c r="F5" s="531"/>
      <c r="G5" s="531"/>
      <c r="H5" s="596"/>
      <c r="I5" s="596"/>
      <c r="J5" s="399"/>
      <c r="K5" s="399"/>
      <c r="L5" s="531"/>
      <c r="M5" s="531"/>
      <c r="N5" s="531"/>
      <c r="O5" s="531"/>
      <c r="P5" s="531"/>
      <c r="Q5" s="531"/>
      <c r="R5" s="531"/>
      <c r="S5" s="531"/>
      <c r="T5" s="515"/>
      <c r="U5" s="515"/>
      <c r="V5" s="532"/>
      <c r="W5" s="531"/>
      <c r="X5" s="532"/>
      <c r="Y5" s="534"/>
      <c r="Z5" s="571"/>
      <c r="AA5" s="571"/>
      <c r="AB5" s="520"/>
      <c r="AC5" s="520"/>
      <c r="AD5" s="535">
        <f>X5</f>
        <v>0</v>
      </c>
      <c r="AE5" s="535">
        <f>Y5</f>
        <v>0</v>
      </c>
      <c r="AF5" s="509"/>
      <c r="AG5" s="509"/>
      <c r="AH5" s="616"/>
      <c r="AI5" s="616"/>
    </row>
    <row r="6" spans="1:41" s="1" customFormat="1">
      <c r="A6" s="477" t="s">
        <v>139</v>
      </c>
      <c r="B6" s="399"/>
      <c r="C6" s="399"/>
      <c r="D6" s="399"/>
      <c r="E6" s="399"/>
      <c r="F6" s="531"/>
      <c r="G6" s="531"/>
      <c r="H6" s="506"/>
      <c r="I6" s="506"/>
      <c r="J6" s="399"/>
      <c r="K6" s="399"/>
      <c r="L6" s="531"/>
      <c r="M6" s="531"/>
      <c r="N6" s="531"/>
      <c r="O6" s="531"/>
      <c r="P6" s="531"/>
      <c r="Q6" s="531"/>
      <c r="R6" s="531"/>
      <c r="S6" s="531"/>
      <c r="T6" s="532">
        <v>0</v>
      </c>
      <c r="U6" s="515"/>
      <c r="V6" s="532"/>
      <c r="W6" s="531"/>
      <c r="X6" s="534"/>
      <c r="Y6" s="534"/>
      <c r="Z6" s="571"/>
      <c r="AA6" s="571"/>
      <c r="AB6" s="520"/>
      <c r="AC6" s="520"/>
      <c r="AD6" s="535">
        <f>V6</f>
        <v>0</v>
      </c>
      <c r="AE6" s="535">
        <f>W6</f>
        <v>0</v>
      </c>
      <c r="AF6" s="509"/>
      <c r="AG6" s="509"/>
      <c r="AH6" s="616"/>
      <c r="AI6" s="616"/>
    </row>
    <row r="7" spans="1:41" s="1" customFormat="1">
      <c r="A7" s="477" t="s">
        <v>139</v>
      </c>
      <c r="B7" s="399"/>
      <c r="C7" s="399"/>
      <c r="D7" s="399"/>
      <c r="E7" s="399"/>
      <c r="F7" s="531"/>
      <c r="G7" s="531"/>
      <c r="H7" s="506"/>
      <c r="I7" s="506"/>
      <c r="J7" s="399"/>
      <c r="K7" s="399"/>
      <c r="L7" s="531"/>
      <c r="M7" s="531"/>
      <c r="N7" s="531"/>
      <c r="O7" s="531"/>
      <c r="P7" s="531"/>
      <c r="Q7" s="531"/>
      <c r="R7" s="531"/>
      <c r="S7" s="531"/>
      <c r="T7" s="532"/>
      <c r="U7" s="515"/>
      <c r="V7" s="747">
        <v>900</v>
      </c>
      <c r="W7" s="531">
        <v>-900</v>
      </c>
      <c r="X7" s="534"/>
      <c r="Y7" s="534"/>
      <c r="Z7" s="571"/>
      <c r="AA7" s="571"/>
      <c r="AB7" s="520"/>
      <c r="AC7" s="520"/>
      <c r="AD7" s="535"/>
      <c r="AE7" s="535"/>
      <c r="AF7" s="509"/>
      <c r="AG7" s="509"/>
      <c r="AH7" s="747">
        <f>V7</f>
        <v>900</v>
      </c>
      <c r="AI7" s="747">
        <f>W7</f>
        <v>-900</v>
      </c>
    </row>
    <row r="8" spans="1:41" s="1" customFormat="1">
      <c r="A8" s="477" t="s">
        <v>138</v>
      </c>
      <c r="B8" s="399"/>
      <c r="C8" s="399"/>
      <c r="D8" s="399"/>
      <c r="E8" s="399"/>
      <c r="F8" s="531"/>
      <c r="G8" s="531"/>
      <c r="H8" s="506"/>
      <c r="I8" s="506"/>
      <c r="J8" s="399"/>
      <c r="K8" s="399"/>
      <c r="L8" s="531"/>
      <c r="M8" s="531"/>
      <c r="N8" s="531"/>
      <c r="O8" s="531"/>
      <c r="P8" s="531"/>
      <c r="Q8" s="531"/>
      <c r="R8" s="531"/>
      <c r="S8" s="531"/>
      <c r="T8" s="515"/>
      <c r="U8" s="515"/>
      <c r="V8" s="531"/>
      <c r="W8" s="531"/>
      <c r="X8" s="534"/>
      <c r="Y8" s="534"/>
      <c r="Z8" s="571"/>
      <c r="AA8" s="571"/>
      <c r="AB8" s="520"/>
      <c r="AC8" s="520"/>
      <c r="AD8" s="535"/>
      <c r="AE8" s="535"/>
      <c r="AF8" s="509"/>
      <c r="AG8" s="509"/>
      <c r="AH8" s="616"/>
      <c r="AI8" s="616"/>
    </row>
    <row r="9" spans="1:41" s="1" customFormat="1">
      <c r="A9" s="477" t="s">
        <v>141</v>
      </c>
      <c r="B9" s="399"/>
      <c r="C9" s="399"/>
      <c r="D9" s="399"/>
      <c r="E9" s="399"/>
      <c r="F9" s="531"/>
      <c r="G9" s="531"/>
      <c r="H9" s="506"/>
      <c r="I9" s="506"/>
      <c r="J9" s="399"/>
      <c r="K9" s="399"/>
      <c r="L9" s="531"/>
      <c r="M9" s="531"/>
      <c r="N9" s="531"/>
      <c r="O9" s="531"/>
      <c r="P9" s="531"/>
      <c r="Q9" s="531"/>
      <c r="R9" s="531"/>
      <c r="S9" s="531"/>
      <c r="T9" s="532"/>
      <c r="U9" s="515"/>
      <c r="V9" s="532">
        <v>160</v>
      </c>
      <c r="W9" s="531"/>
      <c r="X9" s="532"/>
      <c r="Y9" s="534"/>
      <c r="Z9" s="571"/>
      <c r="AA9" s="571"/>
      <c r="AB9" s="520"/>
      <c r="AC9" s="520"/>
      <c r="AD9" s="535">
        <f>X9+V9+T9</f>
        <v>160</v>
      </c>
      <c r="AE9" s="535">
        <f>Y9+W9+U9</f>
        <v>0</v>
      </c>
      <c r="AF9" s="509"/>
      <c r="AG9" s="509"/>
      <c r="AH9" s="616"/>
      <c r="AI9" s="616"/>
    </row>
    <row r="10" spans="1:41" s="1" customFormat="1">
      <c r="A10" s="477" t="s">
        <v>9</v>
      </c>
      <c r="B10" s="531"/>
      <c r="C10" s="399"/>
      <c r="D10" s="399"/>
      <c r="E10" s="399"/>
      <c r="F10" s="531"/>
      <c r="G10" s="531"/>
      <c r="H10" s="506"/>
      <c r="I10" s="506"/>
      <c r="J10" s="399"/>
      <c r="K10" s="399"/>
      <c r="L10" s="531"/>
      <c r="M10" s="531"/>
      <c r="N10" s="531"/>
      <c r="O10" s="531"/>
      <c r="P10" s="531"/>
      <c r="Q10" s="531"/>
      <c r="R10" s="531"/>
      <c r="S10" s="531"/>
      <c r="T10" s="532">
        <v>150</v>
      </c>
      <c r="U10" s="531">
        <f>-80</f>
        <v>-80</v>
      </c>
      <c r="X10" s="533"/>
      <c r="Y10" s="534"/>
      <c r="Z10" s="571"/>
      <c r="AA10" s="571"/>
      <c r="AB10" s="520"/>
      <c r="AC10" s="520"/>
      <c r="AD10" s="535">
        <f>T10</f>
        <v>150</v>
      </c>
      <c r="AE10" s="535">
        <f>U10</f>
        <v>-80</v>
      </c>
      <c r="AF10" s="509"/>
      <c r="AG10" s="509"/>
      <c r="AH10" s="616"/>
      <c r="AI10" s="616"/>
    </row>
    <row r="11" spans="1:41" s="1" customFormat="1">
      <c r="A11" s="477" t="s">
        <v>215</v>
      </c>
      <c r="B11" s="399"/>
      <c r="C11" s="399"/>
      <c r="D11" s="399"/>
      <c r="E11" s="399"/>
      <c r="F11" s="531"/>
      <c r="G11" s="531"/>
      <c r="H11" s="506"/>
      <c r="I11" s="506"/>
      <c r="J11" s="399"/>
      <c r="K11" s="399"/>
      <c r="L11" s="531"/>
      <c r="M11" s="531"/>
      <c r="N11" s="531"/>
      <c r="O11" s="531"/>
      <c r="P11" s="504"/>
      <c r="Q11" s="531"/>
      <c r="R11" s="532">
        <v>50</v>
      </c>
      <c r="S11" s="531">
        <f>-10-6</f>
        <v>-16</v>
      </c>
      <c r="T11" s="532">
        <v>50</v>
      </c>
      <c r="U11" s="515"/>
      <c r="V11" s="532">
        <v>100</v>
      </c>
      <c r="W11" s="531">
        <v>-5.94</v>
      </c>
      <c r="X11" s="532">
        <v>100</v>
      </c>
      <c r="Y11" s="534"/>
      <c r="Z11" s="571"/>
      <c r="AA11" s="571"/>
      <c r="AB11" s="520"/>
      <c r="AC11" s="520"/>
      <c r="AD11" s="535">
        <f>X11+V11+T11+R11+P11</f>
        <v>300</v>
      </c>
      <c r="AE11" s="535">
        <f>Y11+U11+S11+W11</f>
        <v>-21.94</v>
      </c>
      <c r="AF11" s="509"/>
      <c r="AG11" s="509"/>
      <c r="AH11" s="616"/>
      <c r="AI11" s="616"/>
    </row>
    <row r="12" spans="1:41" s="56" customFormat="1" ht="15">
      <c r="A12" s="502" t="s">
        <v>147</v>
      </c>
      <c r="B12" s="536"/>
      <c r="C12" s="536"/>
      <c r="D12" s="536"/>
      <c r="E12" s="536"/>
      <c r="F12" s="536"/>
      <c r="G12" s="536"/>
      <c r="H12" s="512"/>
      <c r="I12" s="512"/>
      <c r="J12" s="536"/>
      <c r="K12" s="536"/>
      <c r="L12" s="536"/>
      <c r="M12" s="536"/>
      <c r="N12" s="536"/>
      <c r="O12" s="536"/>
      <c r="P12" s="536"/>
      <c r="Q12" s="536"/>
      <c r="R12" s="536"/>
      <c r="S12" s="536"/>
      <c r="T12" s="536"/>
      <c r="U12" s="536"/>
      <c r="V12" s="536"/>
      <c r="W12" s="536"/>
      <c r="X12" s="537"/>
      <c r="Y12" s="537"/>
      <c r="Z12" s="537"/>
      <c r="AA12" s="486"/>
      <c r="AB12" s="486"/>
      <c r="AC12" s="486"/>
      <c r="AD12" s="537"/>
      <c r="AE12" s="537"/>
      <c r="AF12" s="509"/>
      <c r="AG12" s="509"/>
      <c r="AH12" s="488"/>
      <c r="AI12" s="488"/>
      <c r="AJ12" s="1"/>
      <c r="AK12" s="1"/>
      <c r="AL12" s="1"/>
      <c r="AM12" s="1"/>
      <c r="AN12" s="1"/>
      <c r="AO12" s="1"/>
    </row>
    <row r="13" spans="1:41" s="1" customFormat="1">
      <c r="A13" s="477" t="s">
        <v>142</v>
      </c>
      <c r="B13" s="399"/>
      <c r="C13" s="399"/>
      <c r="D13" s="399"/>
      <c r="E13" s="399"/>
      <c r="F13" s="531"/>
      <c r="G13" s="531"/>
      <c r="H13" s="506"/>
      <c r="I13" s="506"/>
      <c r="J13" s="399"/>
      <c r="K13" s="399"/>
      <c r="L13" s="531"/>
      <c r="M13" s="531"/>
      <c r="N13" s="531"/>
      <c r="O13" s="531"/>
      <c r="P13" s="531"/>
      <c r="Q13" s="531"/>
      <c r="R13" s="531"/>
      <c r="S13" s="531"/>
      <c r="T13" s="515"/>
      <c r="U13" s="515"/>
      <c r="V13" s="531"/>
      <c r="W13" s="531"/>
      <c r="X13" s="534"/>
      <c r="Y13" s="534"/>
      <c r="Z13" s="571"/>
      <c r="AA13" s="571"/>
      <c r="AB13" s="520"/>
      <c r="AC13" s="520"/>
      <c r="AD13" s="535"/>
      <c r="AE13" s="535"/>
      <c r="AF13" s="509"/>
      <c r="AG13" s="509"/>
      <c r="AH13" s="616"/>
      <c r="AI13" s="616"/>
    </row>
    <row r="14" spans="1:41" s="1" customFormat="1" ht="15">
      <c r="A14" s="477" t="s">
        <v>143</v>
      </c>
      <c r="B14" s="399"/>
      <c r="C14" s="399"/>
      <c r="D14" s="399"/>
      <c r="E14" s="399"/>
      <c r="F14" s="531"/>
      <c r="G14" s="531"/>
      <c r="H14" s="874"/>
      <c r="I14" s="874"/>
      <c r="J14" s="399"/>
      <c r="K14" s="399"/>
      <c r="L14" s="531"/>
      <c r="M14" s="531"/>
      <c r="N14" s="531"/>
      <c r="O14" s="531"/>
      <c r="P14" s="531"/>
      <c r="Q14" s="531"/>
      <c r="R14" s="531"/>
      <c r="S14" s="531"/>
      <c r="T14" s="515"/>
      <c r="U14" s="515"/>
      <c r="V14" s="531"/>
      <c r="W14" s="531"/>
      <c r="X14" s="534"/>
      <c r="Y14" s="534"/>
      <c r="Z14" s="571"/>
      <c r="AA14" s="571"/>
      <c r="AB14" s="520"/>
      <c r="AC14" s="520"/>
      <c r="AD14" s="535"/>
      <c r="AE14" s="535"/>
      <c r="AF14" s="509"/>
      <c r="AG14" s="509"/>
      <c r="AH14" s="616"/>
      <c r="AI14" s="616"/>
    </row>
    <row r="15" spans="1:41" s="1" customFormat="1">
      <c r="A15" s="477" t="s">
        <v>144</v>
      </c>
      <c r="B15" s="399"/>
      <c r="C15" s="399"/>
      <c r="D15" s="399"/>
      <c r="E15" s="399"/>
      <c r="F15" s="531"/>
      <c r="G15" s="531"/>
      <c r="H15" s="399"/>
      <c r="I15" s="399"/>
      <c r="J15" s="399"/>
      <c r="K15" s="399"/>
      <c r="L15" s="531"/>
      <c r="M15" s="531"/>
      <c r="N15" s="531"/>
      <c r="O15" s="531"/>
      <c r="P15" s="531"/>
      <c r="Q15" s="531"/>
      <c r="R15" s="531"/>
      <c r="S15" s="531"/>
      <c r="T15" s="515"/>
      <c r="U15" s="515"/>
      <c r="V15" s="531"/>
      <c r="W15" s="531"/>
      <c r="X15" s="534"/>
      <c r="Y15" s="534"/>
      <c r="Z15" s="571"/>
      <c r="AA15" s="571"/>
      <c r="AB15" s="520"/>
      <c r="AC15" s="520"/>
      <c r="AD15" s="535"/>
      <c r="AE15" s="535"/>
      <c r="AF15" s="509"/>
      <c r="AG15" s="509"/>
      <c r="AH15" s="616"/>
      <c r="AI15" s="616"/>
    </row>
    <row r="16" spans="1:41" s="1" customFormat="1">
      <c r="A16" s="477" t="s">
        <v>145</v>
      </c>
      <c r="B16" s="399"/>
      <c r="C16" s="399"/>
      <c r="D16" s="399"/>
      <c r="E16" s="399"/>
      <c r="F16" s="531"/>
      <c r="G16" s="531"/>
      <c r="H16" s="399"/>
      <c r="I16" s="399"/>
      <c r="J16" s="399"/>
      <c r="K16" s="399"/>
      <c r="L16" s="531"/>
      <c r="M16" s="531"/>
      <c r="N16" s="531"/>
      <c r="O16" s="531"/>
      <c r="P16" s="531"/>
      <c r="Q16" s="531"/>
      <c r="R16" s="531"/>
      <c r="S16" s="531"/>
      <c r="T16" s="515"/>
      <c r="U16" s="515"/>
      <c r="V16" s="531"/>
      <c r="W16" s="531"/>
      <c r="X16" s="534"/>
      <c r="Y16" s="534"/>
      <c r="Z16" s="571"/>
      <c r="AA16" s="571"/>
      <c r="AB16" s="520"/>
      <c r="AC16" s="520"/>
      <c r="AD16" s="535"/>
      <c r="AE16" s="535"/>
      <c r="AF16" s="509"/>
      <c r="AG16" s="509"/>
      <c r="AH16" s="616"/>
      <c r="AI16" s="616"/>
    </row>
    <row r="17" spans="1:41" s="56" customFormat="1" ht="15">
      <c r="A17" s="502" t="s">
        <v>148</v>
      </c>
      <c r="B17" s="536"/>
      <c r="C17" s="536"/>
      <c r="D17" s="536"/>
      <c r="E17" s="536"/>
      <c r="F17" s="536"/>
      <c r="G17" s="536"/>
      <c r="H17" s="512"/>
      <c r="I17" s="512"/>
      <c r="J17" s="536"/>
      <c r="K17" s="536"/>
      <c r="L17" s="536"/>
      <c r="M17" s="536"/>
      <c r="N17" s="536"/>
      <c r="O17" s="536"/>
      <c r="P17" s="536"/>
      <c r="Q17" s="536"/>
      <c r="R17" s="536"/>
      <c r="S17" s="536"/>
      <c r="T17" s="536"/>
      <c r="U17" s="536"/>
      <c r="V17" s="536"/>
      <c r="W17" s="536"/>
      <c r="X17" s="537"/>
      <c r="Y17" s="537"/>
      <c r="Z17" s="537"/>
      <c r="AA17" s="486"/>
      <c r="AB17" s="486"/>
      <c r="AC17" s="486"/>
      <c r="AD17" s="537"/>
      <c r="AE17" s="537"/>
      <c r="AF17" s="509"/>
      <c r="AG17" s="509"/>
      <c r="AH17" s="488"/>
      <c r="AI17" s="488"/>
      <c r="AJ17" s="1"/>
      <c r="AK17" s="1"/>
      <c r="AL17" s="1"/>
      <c r="AM17" s="1"/>
      <c r="AN17" s="1"/>
      <c r="AO17" s="1"/>
    </row>
    <row r="18" spans="1:41" s="1" customFormat="1">
      <c r="A18" s="477" t="s">
        <v>149</v>
      </c>
      <c r="B18" s="534"/>
      <c r="C18" s="399"/>
      <c r="D18" s="571">
        <v>125</v>
      </c>
      <c r="E18" s="399">
        <v>-124</v>
      </c>
      <c r="F18" s="531"/>
      <c r="G18" s="531"/>
      <c r="H18" s="513">
        <v>2400</v>
      </c>
      <c r="I18" s="506">
        <v>-2399</v>
      </c>
      <c r="J18" s="399"/>
      <c r="K18" s="399"/>
      <c r="L18" s="531"/>
      <c r="M18" s="531"/>
      <c r="N18" s="531"/>
      <c r="O18" s="531"/>
      <c r="P18" s="531"/>
      <c r="Q18" s="531"/>
      <c r="R18" s="531"/>
      <c r="S18" s="531"/>
      <c r="T18" s="515"/>
      <c r="U18" s="515"/>
      <c r="V18" s="531"/>
      <c r="W18" s="531"/>
      <c r="X18" s="534"/>
      <c r="Y18" s="534"/>
      <c r="Z18" s="571">
        <f>D18</f>
        <v>125</v>
      </c>
      <c r="AA18" s="571">
        <f>E18</f>
        <v>-124</v>
      </c>
      <c r="AB18" s="520"/>
      <c r="AC18" s="520"/>
      <c r="AD18" s="535"/>
      <c r="AE18" s="535"/>
      <c r="AF18" s="509">
        <f>H18</f>
        <v>2400</v>
      </c>
      <c r="AG18" s="509">
        <f>I18</f>
        <v>-2399</v>
      </c>
      <c r="AH18" s="616"/>
      <c r="AI18" s="616"/>
    </row>
    <row r="19" spans="1:41" s="1" customFormat="1">
      <c r="A19" s="477" t="s">
        <v>150</v>
      </c>
      <c r="B19" s="399"/>
      <c r="C19" s="399"/>
      <c r="D19" s="399"/>
      <c r="E19" s="399"/>
      <c r="F19" s="531"/>
      <c r="G19" s="531"/>
      <c r="H19" s="506"/>
      <c r="I19" s="506"/>
      <c r="J19" s="399"/>
      <c r="K19" s="399"/>
      <c r="L19" s="531"/>
      <c r="M19" s="531"/>
      <c r="N19" s="531"/>
      <c r="O19" s="531"/>
      <c r="P19" s="531"/>
      <c r="Q19" s="531"/>
      <c r="R19" s="531"/>
      <c r="S19" s="531"/>
      <c r="T19" s="535">
        <v>22.03</v>
      </c>
      <c r="U19" s="515">
        <v>-22.03</v>
      </c>
      <c r="V19" s="531"/>
      <c r="W19" s="531"/>
      <c r="X19" s="534"/>
      <c r="Y19" s="534"/>
      <c r="Z19" s="571"/>
      <c r="AA19" s="571"/>
      <c r="AB19" s="520"/>
      <c r="AC19" s="520"/>
      <c r="AD19" s="535">
        <f>T19</f>
        <v>22.03</v>
      </c>
      <c r="AE19" s="535">
        <f>U19</f>
        <v>-22.03</v>
      </c>
      <c r="AF19" s="509"/>
      <c r="AG19" s="509"/>
      <c r="AH19" s="616"/>
      <c r="AI19" s="616"/>
    </row>
    <row r="20" spans="1:41" s="1" customFormat="1">
      <c r="A20" s="477" t="s">
        <v>151</v>
      </c>
      <c r="B20" s="571">
        <v>2600</v>
      </c>
      <c r="C20" s="399">
        <f>-6.5-15-1846.22-25-29</f>
        <v>-1921.72</v>
      </c>
      <c r="D20" s="571"/>
      <c r="E20" s="399"/>
      <c r="F20" s="571">
        <v>2240</v>
      </c>
      <c r="G20" s="531">
        <f>-408-710</f>
        <v>-1118</v>
      </c>
      <c r="H20" s="506"/>
      <c r="I20" s="506"/>
      <c r="J20" s="399"/>
      <c r="K20" s="399"/>
      <c r="L20" s="571"/>
      <c r="M20" s="531"/>
      <c r="N20" s="531"/>
      <c r="O20" s="531"/>
      <c r="P20" s="531"/>
      <c r="Q20" s="531"/>
      <c r="R20" s="531"/>
      <c r="S20" s="531"/>
      <c r="T20" s="515"/>
      <c r="U20" s="515"/>
      <c r="V20" s="531"/>
      <c r="W20" s="531"/>
      <c r="X20" s="534"/>
      <c r="Y20" s="534"/>
      <c r="Z20" s="571">
        <f>L20+F20+D20+B20</f>
        <v>4840</v>
      </c>
      <c r="AA20" s="571">
        <f>G20+E20+C20</f>
        <v>-3039.7200000000003</v>
      </c>
      <c r="AB20" s="520"/>
      <c r="AC20" s="520"/>
      <c r="AD20" s="535"/>
      <c r="AE20" s="535"/>
      <c r="AF20" s="509"/>
      <c r="AG20" s="509"/>
      <c r="AH20" s="616"/>
      <c r="AI20" s="616"/>
    </row>
    <row r="21" spans="1:41" s="1" customFormat="1">
      <c r="A21" s="477" t="s">
        <v>152</v>
      </c>
      <c r="B21" s="532"/>
      <c r="C21" s="399"/>
      <c r="D21" s="399"/>
      <c r="E21" s="399"/>
      <c r="F21" s="531"/>
      <c r="G21" s="531"/>
      <c r="H21" s="513">
        <v>7000</v>
      </c>
      <c r="I21" s="323"/>
      <c r="J21" s="399"/>
      <c r="K21" s="399"/>
      <c r="L21" s="531"/>
      <c r="M21" s="531"/>
      <c r="N21" s="531"/>
      <c r="O21" s="531"/>
      <c r="P21" s="531"/>
      <c r="Q21" s="531"/>
      <c r="R21" s="531"/>
      <c r="S21" s="531"/>
      <c r="T21" s="515"/>
      <c r="U21" s="515"/>
      <c r="V21" s="531"/>
      <c r="W21" s="531"/>
      <c r="X21" s="534"/>
      <c r="Y21" s="534"/>
      <c r="Z21" s="571"/>
      <c r="AA21" s="571"/>
      <c r="AB21" s="520"/>
      <c r="AC21" s="520"/>
      <c r="AD21" s="535">
        <f>B21</f>
        <v>0</v>
      </c>
      <c r="AE21" s="535">
        <f>C21</f>
        <v>0</v>
      </c>
      <c r="AF21" s="509">
        <f>H21</f>
        <v>7000</v>
      </c>
      <c r="AG21" s="509">
        <f>I21</f>
        <v>0</v>
      </c>
      <c r="AH21" s="616"/>
      <c r="AI21" s="616"/>
    </row>
    <row r="22" spans="1:41" s="56" customFormat="1" ht="15">
      <c r="A22" s="502" t="s">
        <v>153</v>
      </c>
      <c r="B22" s="536"/>
      <c r="C22" s="536"/>
      <c r="D22" s="536"/>
      <c r="E22" s="536"/>
      <c r="F22" s="536"/>
      <c r="G22" s="536"/>
      <c r="H22" s="536"/>
      <c r="I22" s="536"/>
      <c r="J22" s="536"/>
      <c r="K22" s="536"/>
      <c r="L22" s="536"/>
      <c r="M22" s="536"/>
      <c r="N22" s="536"/>
      <c r="O22" s="536"/>
      <c r="P22" s="536"/>
      <c r="Q22" s="536"/>
      <c r="R22" s="536"/>
      <c r="S22" s="536"/>
      <c r="T22" s="536"/>
      <c r="U22" s="536"/>
      <c r="V22" s="536"/>
      <c r="W22" s="536"/>
      <c r="X22" s="537"/>
      <c r="Y22" s="537"/>
      <c r="Z22" s="537"/>
      <c r="AA22" s="486"/>
      <c r="AB22" s="486"/>
      <c r="AC22" s="486"/>
      <c r="AD22" s="537"/>
      <c r="AE22" s="537"/>
      <c r="AF22" s="509"/>
      <c r="AG22" s="509"/>
      <c r="AH22" s="488"/>
      <c r="AI22" s="488"/>
      <c r="AJ22" s="1"/>
      <c r="AK22" s="1"/>
      <c r="AL22" s="1"/>
      <c r="AM22" s="1"/>
      <c r="AN22" s="1"/>
      <c r="AO22" s="1"/>
    </row>
    <row r="23" spans="1:41" s="1" customFormat="1">
      <c r="A23" s="477" t="s">
        <v>156</v>
      </c>
      <c r="B23" s="534"/>
      <c r="C23" s="399"/>
      <c r="D23" s="399"/>
      <c r="E23" s="399"/>
      <c r="F23" s="531"/>
      <c r="G23" s="531"/>
      <c r="H23" s="531"/>
      <c r="I23" s="531"/>
      <c r="J23" s="399"/>
      <c r="K23" s="399"/>
      <c r="L23" s="531"/>
      <c r="M23" s="531"/>
      <c r="N23" s="531"/>
      <c r="O23" s="531"/>
      <c r="P23" s="531"/>
      <c r="Q23" s="531"/>
      <c r="R23" s="531"/>
      <c r="S23" s="531"/>
      <c r="T23" s="515"/>
      <c r="U23" s="515"/>
      <c r="V23" s="531"/>
      <c r="W23" s="531"/>
      <c r="X23" s="534"/>
      <c r="Y23" s="534"/>
      <c r="Z23" s="571"/>
      <c r="AA23" s="571"/>
      <c r="AB23" s="520"/>
      <c r="AC23" s="520"/>
      <c r="AD23" s="535"/>
      <c r="AE23" s="535"/>
      <c r="AF23" s="509"/>
      <c r="AG23" s="509"/>
      <c r="AH23" s="616"/>
      <c r="AI23" s="616"/>
    </row>
    <row r="24" spans="1:41" s="1" customFormat="1">
      <c r="A24" s="477" t="s">
        <v>129</v>
      </c>
      <c r="B24" s="534"/>
      <c r="C24" s="399"/>
      <c r="D24" s="399"/>
      <c r="E24" s="399"/>
      <c r="F24" s="531"/>
      <c r="G24" s="531"/>
      <c r="H24" s="531"/>
      <c r="I24" s="531"/>
      <c r="J24" s="399"/>
      <c r="K24" s="399"/>
      <c r="L24" s="571">
        <f>1000+2500</f>
        <v>3500</v>
      </c>
      <c r="M24" s="531"/>
      <c r="N24" s="531"/>
      <c r="O24" s="531"/>
      <c r="P24" s="531"/>
      <c r="Q24" s="531"/>
      <c r="R24" s="531"/>
      <c r="S24" s="531"/>
      <c r="T24" s="515"/>
      <c r="U24" s="515"/>
      <c r="V24" s="531"/>
      <c r="W24" s="531"/>
      <c r="X24" s="534"/>
      <c r="Y24" s="534"/>
      <c r="Z24" s="571">
        <f t="shared" ref="Z24:AA26" si="0">L24</f>
        <v>3500</v>
      </c>
      <c r="AA24" s="571">
        <f t="shared" si="0"/>
        <v>0</v>
      </c>
      <c r="AB24" s="520"/>
      <c r="AC24" s="520"/>
      <c r="AD24" s="535"/>
      <c r="AE24" s="535"/>
      <c r="AF24" s="509"/>
      <c r="AG24" s="509"/>
      <c r="AH24" s="616"/>
      <c r="AI24" s="616"/>
    </row>
    <row r="25" spans="1:41" s="1" customFormat="1">
      <c r="A25" s="477" t="s">
        <v>129</v>
      </c>
      <c r="B25" s="399"/>
      <c r="C25" s="399"/>
      <c r="D25" s="399"/>
      <c r="E25" s="399"/>
      <c r="F25" s="531"/>
      <c r="G25" s="531"/>
      <c r="H25" s="531"/>
      <c r="I25" s="531"/>
      <c r="J25" s="399"/>
      <c r="K25" s="399"/>
      <c r="L25" s="571">
        <v>50</v>
      </c>
      <c r="M25" s="531"/>
      <c r="N25" s="531"/>
      <c r="O25" s="531"/>
      <c r="P25" s="531"/>
      <c r="Q25" s="531"/>
      <c r="R25" s="531"/>
      <c r="S25" s="531"/>
      <c r="T25" s="515"/>
      <c r="U25" s="515"/>
      <c r="V25" s="531"/>
      <c r="W25" s="531"/>
      <c r="X25" s="534"/>
      <c r="Y25" s="534"/>
      <c r="Z25" s="571">
        <f t="shared" si="0"/>
        <v>50</v>
      </c>
      <c r="AA25" s="571">
        <f t="shared" si="0"/>
        <v>0</v>
      </c>
      <c r="AB25" s="520"/>
      <c r="AC25" s="520"/>
      <c r="AD25" s="535"/>
      <c r="AE25" s="535"/>
      <c r="AF25" s="509"/>
      <c r="AG25" s="509"/>
      <c r="AH25" s="616"/>
      <c r="AI25" s="616"/>
    </row>
    <row r="26" spans="1:41" s="1" customFormat="1">
      <c r="A26" s="477" t="s">
        <v>129</v>
      </c>
      <c r="B26" s="399"/>
      <c r="C26" s="399"/>
      <c r="D26" s="399"/>
      <c r="E26" s="399"/>
      <c r="F26" s="531"/>
      <c r="G26" s="531"/>
      <c r="H26" s="505"/>
      <c r="I26" s="506"/>
      <c r="J26" s="399"/>
      <c r="K26" s="399"/>
      <c r="L26" s="571">
        <v>50</v>
      </c>
      <c r="M26" s="534"/>
      <c r="N26" s="534"/>
      <c r="O26" s="534"/>
      <c r="P26" s="534"/>
      <c r="Q26" s="534"/>
      <c r="R26" s="531"/>
      <c r="S26" s="531"/>
      <c r="T26" s="515"/>
      <c r="U26" s="515"/>
      <c r="V26" s="531"/>
      <c r="W26" s="531"/>
      <c r="X26" s="534"/>
      <c r="Y26" s="534"/>
      <c r="Z26" s="571">
        <f t="shared" si="0"/>
        <v>50</v>
      </c>
      <c r="AA26" s="571">
        <f t="shared" si="0"/>
        <v>0</v>
      </c>
      <c r="AB26" s="520"/>
      <c r="AC26" s="520"/>
      <c r="AD26" s="535"/>
      <c r="AE26" s="535"/>
      <c r="AF26" s="509"/>
      <c r="AG26" s="509"/>
      <c r="AH26" s="616"/>
      <c r="AI26" s="616"/>
    </row>
    <row r="27" spans="1:41" s="1" customFormat="1">
      <c r="A27" s="477" t="s">
        <v>157</v>
      </c>
      <c r="B27" s="399"/>
      <c r="C27" s="399"/>
      <c r="D27" s="399"/>
      <c r="E27" s="399"/>
      <c r="F27" s="531"/>
      <c r="G27" s="531"/>
      <c r="H27" s="506"/>
      <c r="I27" s="506"/>
      <c r="J27" s="399"/>
      <c r="K27" s="399"/>
      <c r="L27" s="531"/>
      <c r="M27" s="531"/>
      <c r="N27" s="531"/>
      <c r="O27" s="531"/>
      <c r="P27" s="531"/>
      <c r="Q27" s="531"/>
      <c r="R27" s="531"/>
      <c r="S27" s="531"/>
      <c r="T27" s="515"/>
      <c r="U27" s="515"/>
      <c r="V27" s="531"/>
      <c r="W27" s="531"/>
      <c r="X27" s="534"/>
      <c r="Y27" s="534"/>
      <c r="Z27" s="571"/>
      <c r="AA27" s="571"/>
      <c r="AB27" s="520"/>
      <c r="AC27" s="520"/>
      <c r="AD27" s="535"/>
      <c r="AE27" s="535"/>
      <c r="AF27" s="509"/>
      <c r="AG27" s="509"/>
      <c r="AH27" s="616"/>
      <c r="AI27" s="616"/>
    </row>
    <row r="28" spans="1:41" s="1" customFormat="1" ht="15">
      <c r="A28" s="477" t="s">
        <v>158</v>
      </c>
      <c r="B28" s="399"/>
      <c r="C28" s="399"/>
      <c r="D28" s="399"/>
      <c r="E28" s="399"/>
      <c r="F28" s="531"/>
      <c r="G28" s="531"/>
      <c r="H28" s="874"/>
      <c r="I28" s="874"/>
      <c r="J28" s="399"/>
      <c r="K28" s="399"/>
      <c r="L28" s="531"/>
      <c r="M28" s="531"/>
      <c r="N28" s="571"/>
      <c r="O28" s="531"/>
      <c r="P28" s="531"/>
      <c r="Q28" s="531"/>
      <c r="R28" s="531"/>
      <c r="S28" s="531"/>
      <c r="T28" s="515"/>
      <c r="U28" s="515"/>
      <c r="V28" s="531"/>
      <c r="W28" s="531"/>
      <c r="X28" s="534"/>
      <c r="Y28" s="534"/>
      <c r="Z28" s="571"/>
      <c r="AA28" s="571"/>
      <c r="AB28" s="520"/>
      <c r="AC28" s="520"/>
      <c r="AD28" s="535"/>
      <c r="AE28" s="535"/>
      <c r="AF28" s="509"/>
      <c r="AG28" s="509"/>
      <c r="AH28" s="616"/>
      <c r="AI28" s="616"/>
    </row>
    <row r="29" spans="1:41" s="56" customFormat="1" ht="15">
      <c r="A29" s="502" t="s">
        <v>160</v>
      </c>
      <c r="B29" s="536"/>
      <c r="C29" s="536"/>
      <c r="D29" s="536"/>
      <c r="E29" s="536"/>
      <c r="F29" s="536"/>
      <c r="G29" s="536"/>
      <c r="H29" s="512"/>
      <c r="I29" s="512"/>
      <c r="J29" s="536"/>
      <c r="K29" s="536"/>
      <c r="L29" s="536"/>
      <c r="M29" s="536"/>
      <c r="N29" s="536"/>
      <c r="O29" s="536"/>
      <c r="P29" s="536"/>
      <c r="Q29" s="536"/>
      <c r="R29" s="536"/>
      <c r="S29" s="536"/>
      <c r="T29" s="536"/>
      <c r="U29" s="536"/>
      <c r="V29" s="536"/>
      <c r="W29" s="536"/>
      <c r="X29" s="537"/>
      <c r="Y29" s="537"/>
      <c r="Z29" s="537"/>
      <c r="AA29" s="486"/>
      <c r="AB29" s="486"/>
      <c r="AC29" s="486"/>
      <c r="AD29" s="537"/>
      <c r="AE29" s="537"/>
      <c r="AF29" s="509"/>
      <c r="AG29" s="509"/>
      <c r="AH29" s="488"/>
      <c r="AI29" s="488"/>
      <c r="AJ29" s="1"/>
      <c r="AK29" s="1"/>
      <c r="AL29" s="1"/>
      <c r="AM29" s="1"/>
      <c r="AN29" s="1"/>
      <c r="AO29" s="1"/>
    </row>
    <row r="30" spans="1:41" s="1" customFormat="1">
      <c r="A30" s="477" t="s">
        <v>161</v>
      </c>
      <c r="B30" s="399"/>
      <c r="C30" s="399"/>
      <c r="D30" s="399"/>
      <c r="E30" s="399"/>
      <c r="F30" s="531"/>
      <c r="G30" s="531"/>
      <c r="H30" s="506"/>
      <c r="I30" s="506"/>
      <c r="J30" s="399"/>
      <c r="K30" s="399"/>
      <c r="L30" s="531"/>
      <c r="M30" s="531"/>
      <c r="N30" s="531"/>
      <c r="O30" s="531"/>
      <c r="P30" s="531"/>
      <c r="Q30" s="531"/>
      <c r="R30" s="531"/>
      <c r="S30" s="531"/>
      <c r="T30" s="515"/>
      <c r="U30" s="515"/>
      <c r="V30" s="531"/>
      <c r="W30" s="531"/>
      <c r="X30" s="534"/>
      <c r="Y30" s="534"/>
      <c r="Z30" s="571"/>
      <c r="AA30" s="571"/>
      <c r="AB30" s="520"/>
      <c r="AC30" s="520"/>
      <c r="AD30" s="535"/>
      <c r="AE30" s="535"/>
      <c r="AF30" s="509"/>
      <c r="AG30" s="509"/>
      <c r="AH30" s="616"/>
      <c r="AI30" s="616"/>
    </row>
    <row r="31" spans="1:41" s="1" customFormat="1">
      <c r="A31" s="477" t="s">
        <v>162</v>
      </c>
      <c r="B31" s="399"/>
      <c r="C31" s="399"/>
      <c r="D31" s="399"/>
      <c r="E31" s="399"/>
      <c r="F31" s="531"/>
      <c r="G31" s="531"/>
      <c r="H31" s="506"/>
      <c r="I31" s="506"/>
      <c r="J31" s="399"/>
      <c r="K31" s="399"/>
      <c r="L31" s="531"/>
      <c r="M31" s="531"/>
      <c r="N31" s="531"/>
      <c r="O31" s="531"/>
      <c r="P31" s="571"/>
      <c r="Q31" s="531"/>
      <c r="R31" s="571"/>
      <c r="S31" s="531"/>
      <c r="T31" s="535">
        <v>260</v>
      </c>
      <c r="U31" s="515">
        <v>-260</v>
      </c>
      <c r="V31" s="571"/>
      <c r="W31" s="533"/>
      <c r="X31" s="571"/>
      <c r="Y31" s="534"/>
      <c r="Z31" s="571"/>
      <c r="AA31" s="571"/>
      <c r="AB31" s="520"/>
      <c r="AC31" s="520"/>
      <c r="AD31" s="535">
        <f>T31</f>
        <v>260</v>
      </c>
      <c r="AE31" s="535">
        <f>U31</f>
        <v>-260</v>
      </c>
      <c r="AF31" s="509"/>
      <c r="AG31" s="509"/>
      <c r="AH31" s="616"/>
      <c r="AI31" s="616"/>
    </row>
    <row r="32" spans="1:41" s="1" customFormat="1">
      <c r="A32" s="477" t="s">
        <v>162</v>
      </c>
      <c r="B32" s="399"/>
      <c r="C32" s="399"/>
      <c r="D32" s="399"/>
      <c r="E32" s="399"/>
      <c r="F32" s="531"/>
      <c r="G32" s="531"/>
      <c r="H32" s="506"/>
      <c r="I32" s="506"/>
      <c r="J32" s="399"/>
      <c r="K32" s="399"/>
      <c r="L32" s="531"/>
      <c r="M32" s="531"/>
      <c r="N32" s="531"/>
      <c r="O32" s="531"/>
      <c r="P32" s="571"/>
      <c r="Q32" s="531"/>
      <c r="R32" s="571"/>
      <c r="S32" s="531"/>
      <c r="T32" s="509">
        <v>580</v>
      </c>
      <c r="U32" s="515">
        <v>-580</v>
      </c>
      <c r="V32" s="747">
        <v>-425</v>
      </c>
      <c r="W32" s="533">
        <v>-425</v>
      </c>
      <c r="X32" s="747">
        <f>-20-35</f>
        <v>-55</v>
      </c>
      <c r="Y32" s="534">
        <f>-20-35</f>
        <v>-55</v>
      </c>
      <c r="Z32" s="571"/>
      <c r="AA32" s="571"/>
      <c r="AB32" s="520"/>
      <c r="AC32" s="520"/>
      <c r="AD32" s="535"/>
      <c r="AE32" s="535"/>
      <c r="AF32" s="509">
        <f>T32</f>
        <v>580</v>
      </c>
      <c r="AG32" s="509">
        <f>U32</f>
        <v>-580</v>
      </c>
      <c r="AH32" s="747">
        <f>V32+X32</f>
        <v>-480</v>
      </c>
      <c r="AI32" s="748">
        <f>U32+W32+Y32</f>
        <v>-1060</v>
      </c>
    </row>
    <row r="33" spans="1:41" s="1" customFormat="1" ht="15">
      <c r="A33" s="477" t="s">
        <v>163</v>
      </c>
      <c r="B33" s="399"/>
      <c r="C33" s="399"/>
      <c r="D33" s="399"/>
      <c r="E33" s="399"/>
      <c r="F33" s="531"/>
      <c r="G33" s="531"/>
      <c r="H33" s="874"/>
      <c r="I33" s="874"/>
      <c r="J33" s="399"/>
      <c r="K33" s="399"/>
      <c r="L33" s="531"/>
      <c r="M33" s="531"/>
      <c r="N33" s="531"/>
      <c r="O33" s="531"/>
      <c r="P33" s="531"/>
      <c r="Q33" s="531"/>
      <c r="R33" s="531"/>
      <c r="S33" s="531"/>
      <c r="T33" s="531"/>
      <c r="U33" s="515"/>
      <c r="V33" s="531"/>
      <c r="W33" s="533"/>
      <c r="X33" s="531"/>
      <c r="Y33" s="534"/>
      <c r="Z33" s="571"/>
      <c r="AA33" s="571"/>
      <c r="AB33" s="520"/>
      <c r="AC33" s="520"/>
      <c r="AD33" s="535"/>
      <c r="AE33" s="535"/>
      <c r="AF33" s="509"/>
      <c r="AG33" s="509"/>
      <c r="AH33" s="616"/>
      <c r="AI33" s="616"/>
    </row>
    <row r="34" spans="1:41" s="1" customFormat="1">
      <c r="A34" s="477" t="s">
        <v>164</v>
      </c>
      <c r="B34" s="399"/>
      <c r="C34" s="399"/>
      <c r="D34" s="399"/>
      <c r="E34" s="399"/>
      <c r="F34" s="531"/>
      <c r="G34" s="531"/>
      <c r="H34" s="506"/>
      <c r="I34" s="506"/>
      <c r="J34" s="520">
        <v>400</v>
      </c>
      <c r="K34" s="399"/>
      <c r="L34" s="531"/>
      <c r="M34" s="531"/>
      <c r="N34" s="531"/>
      <c r="O34" s="531"/>
      <c r="P34" s="531"/>
      <c r="Q34" s="531"/>
      <c r="R34" s="571"/>
      <c r="S34" s="531"/>
      <c r="T34" s="571">
        <v>350</v>
      </c>
      <c r="U34" s="515"/>
      <c r="V34" s="571">
        <v>150</v>
      </c>
      <c r="W34" s="531"/>
      <c r="X34" s="571">
        <v>350</v>
      </c>
      <c r="Y34" s="534">
        <v>-300</v>
      </c>
      <c r="Z34" s="571">
        <f>X34+V34+T34+R34</f>
        <v>850</v>
      </c>
      <c r="AA34" s="571">
        <f>Y34+W34+U34+S34</f>
        <v>-300</v>
      </c>
      <c r="AB34" s="520">
        <f>J34</f>
        <v>400</v>
      </c>
      <c r="AC34" s="520">
        <f>K34</f>
        <v>0</v>
      </c>
      <c r="AD34" s="535"/>
      <c r="AE34" s="535"/>
      <c r="AF34" s="509"/>
      <c r="AG34" s="509"/>
      <c r="AH34" s="616"/>
      <c r="AI34" s="616"/>
    </row>
    <row r="35" spans="1:41" s="1" customFormat="1">
      <c r="A35" s="477" t="s">
        <v>165</v>
      </c>
      <c r="B35" s="399"/>
      <c r="C35" s="399"/>
      <c r="D35" s="399"/>
      <c r="E35" s="399"/>
      <c r="F35" s="531"/>
      <c r="G35" s="531"/>
      <c r="H35" s="506"/>
      <c r="I35" s="506"/>
      <c r="J35" s="520">
        <f>200+920</f>
        <v>1120</v>
      </c>
      <c r="K35" s="399">
        <f>-71.88-62.79-26.99-42.07-659.4</f>
        <v>-863.13</v>
      </c>
      <c r="L35" s="531"/>
      <c r="M35" s="531"/>
      <c r="N35" s="531"/>
      <c r="O35" s="531"/>
      <c r="P35" s="531"/>
      <c r="Q35" s="531"/>
      <c r="R35" s="571"/>
      <c r="S35" s="531"/>
      <c r="T35" s="571"/>
      <c r="U35" s="515"/>
      <c r="V35" s="571"/>
      <c r="W35" s="531"/>
      <c r="X35" s="571"/>
      <c r="Y35" s="534"/>
      <c r="Z35" s="571"/>
      <c r="AA35" s="571"/>
      <c r="AB35" s="520">
        <f>J35</f>
        <v>1120</v>
      </c>
      <c r="AC35" s="520">
        <f>K35</f>
        <v>-863.13</v>
      </c>
      <c r="AD35" s="535"/>
      <c r="AE35" s="535"/>
      <c r="AF35" s="509"/>
      <c r="AG35" s="509"/>
      <c r="AH35" s="616"/>
      <c r="AI35" s="616"/>
    </row>
    <row r="36" spans="1:41" s="1" customFormat="1">
      <c r="A36" s="477" t="s">
        <v>165</v>
      </c>
      <c r="B36" s="399"/>
      <c r="C36" s="399"/>
      <c r="D36" s="399"/>
      <c r="E36" s="399"/>
      <c r="F36" s="531"/>
      <c r="G36" s="531"/>
      <c r="H36" s="506"/>
      <c r="I36" s="506"/>
      <c r="J36" s="617">
        <v>899</v>
      </c>
      <c r="K36" s="399">
        <f>-600-99-199.36</f>
        <v>-898.36</v>
      </c>
      <c r="L36" s="531"/>
      <c r="M36" s="531"/>
      <c r="N36" s="531"/>
      <c r="O36" s="531"/>
      <c r="P36" s="531"/>
      <c r="Q36" s="531"/>
      <c r="R36" s="531"/>
      <c r="S36" s="531"/>
      <c r="T36" s="531"/>
      <c r="U36" s="515"/>
      <c r="V36" s="531"/>
      <c r="W36" s="531"/>
      <c r="X36" s="531"/>
      <c r="Y36" s="534"/>
      <c r="Z36" s="571"/>
      <c r="AA36" s="571"/>
      <c r="AB36" s="520"/>
      <c r="AC36" s="520"/>
      <c r="AD36" s="535"/>
      <c r="AE36" s="535"/>
      <c r="AF36" s="509"/>
      <c r="AG36" s="509"/>
      <c r="AH36" s="617">
        <f>J36</f>
        <v>899</v>
      </c>
      <c r="AI36" s="748">
        <f>K36</f>
        <v>-898.36</v>
      </c>
    </row>
    <row r="37" spans="1:41" s="1" customFormat="1">
      <c r="A37" s="477" t="s">
        <v>165</v>
      </c>
      <c r="B37" s="399"/>
      <c r="C37" s="399"/>
      <c r="D37" s="399"/>
      <c r="E37" s="399"/>
      <c r="F37" s="531"/>
      <c r="G37" s="531"/>
      <c r="H37" s="506"/>
      <c r="I37" s="506"/>
      <c r="J37" s="535">
        <f>650+7900</f>
        <v>8550</v>
      </c>
      <c r="K37" s="399">
        <f>-220-423.57</f>
        <v>-643.56999999999994</v>
      </c>
      <c r="L37" s="531"/>
      <c r="M37" s="531"/>
      <c r="N37" s="531"/>
      <c r="O37" s="531"/>
      <c r="P37" s="531"/>
      <c r="Q37" s="531"/>
      <c r="R37" s="531"/>
      <c r="S37" s="531"/>
      <c r="T37" s="531"/>
      <c r="U37" s="515"/>
      <c r="V37" s="531"/>
      <c r="W37" s="531"/>
      <c r="X37" s="534"/>
      <c r="Y37" s="534"/>
      <c r="Z37" s="571"/>
      <c r="AA37" s="571"/>
      <c r="AB37" s="520"/>
      <c r="AC37" s="520"/>
      <c r="AD37" s="535">
        <f>J37</f>
        <v>8550</v>
      </c>
      <c r="AE37" s="535">
        <f>K37</f>
        <v>-643.56999999999994</v>
      </c>
      <c r="AF37" s="509"/>
      <c r="AG37" s="509"/>
      <c r="AH37" s="616"/>
      <c r="AI37" s="616"/>
    </row>
    <row r="38" spans="1:41" s="56" customFormat="1" ht="15">
      <c r="A38" s="502" t="str">
        <f>[1]Sheet1!A37</f>
        <v>Other Expense</v>
      </c>
      <c r="B38" s="536"/>
      <c r="C38" s="536"/>
      <c r="D38" s="536"/>
      <c r="E38" s="536"/>
      <c r="F38" s="536"/>
      <c r="G38" s="536"/>
      <c r="H38" s="512"/>
      <c r="I38" s="512"/>
      <c r="J38" s="538"/>
      <c r="K38" s="536"/>
      <c r="L38" s="536"/>
      <c r="M38" s="536"/>
      <c r="N38" s="536"/>
      <c r="O38" s="536"/>
      <c r="P38" s="536"/>
      <c r="Q38" s="536"/>
      <c r="R38" s="536"/>
      <c r="S38" s="536"/>
      <c r="T38" s="536"/>
      <c r="U38" s="536"/>
      <c r="V38" s="536"/>
      <c r="W38" s="536"/>
      <c r="X38" s="537"/>
      <c r="Y38" s="537"/>
      <c r="Z38" s="537"/>
      <c r="AA38" s="486"/>
      <c r="AB38" s="486"/>
      <c r="AC38" s="486"/>
      <c r="AD38" s="537"/>
      <c r="AE38" s="537"/>
      <c r="AF38" s="509"/>
      <c r="AG38" s="509"/>
      <c r="AH38" s="488"/>
      <c r="AI38" s="488"/>
      <c r="AJ38" s="1"/>
      <c r="AK38" s="1"/>
      <c r="AL38" s="1"/>
      <c r="AM38" s="1"/>
      <c r="AN38" s="1"/>
      <c r="AO38" s="1"/>
    </row>
    <row r="39" spans="1:41" s="1" customFormat="1">
      <c r="A39" s="491" t="str">
        <f>[1]Sheet1!A38</f>
        <v>Community Relations</v>
      </c>
      <c r="B39" s="399"/>
      <c r="C39" s="399"/>
      <c r="D39" s="399"/>
      <c r="E39" s="399"/>
      <c r="F39" s="531"/>
      <c r="G39" s="531"/>
      <c r="H39" s="515"/>
      <c r="I39" s="515"/>
      <c r="J39" s="399"/>
      <c r="K39" s="399"/>
      <c r="L39" s="531"/>
      <c r="M39" s="531"/>
      <c r="N39" s="531"/>
      <c r="O39" s="531"/>
      <c r="P39" s="531"/>
      <c r="Q39" s="531"/>
      <c r="R39" s="531"/>
      <c r="S39" s="531"/>
      <c r="T39" s="515"/>
      <c r="U39" s="515"/>
      <c r="V39" s="531"/>
      <c r="W39" s="531"/>
      <c r="X39" s="534"/>
      <c r="Y39" s="534"/>
      <c r="Z39" s="571"/>
      <c r="AA39" s="571"/>
      <c r="AB39" s="520"/>
      <c r="AC39" s="520"/>
      <c r="AD39" s="535"/>
      <c r="AE39" s="535"/>
      <c r="AF39" s="509"/>
      <c r="AG39" s="509"/>
      <c r="AH39" s="616"/>
      <c r="AI39" s="616"/>
    </row>
    <row r="40" spans="1:41" s="1" customFormat="1" ht="15">
      <c r="A40" s="477" t="s">
        <v>171</v>
      </c>
      <c r="B40" s="399"/>
      <c r="C40" s="399"/>
      <c r="D40" s="399"/>
      <c r="E40" s="399"/>
      <c r="F40" s="531"/>
      <c r="G40" s="531"/>
      <c r="H40" s="874"/>
      <c r="I40" s="874"/>
      <c r="J40" s="399"/>
      <c r="K40" s="399"/>
      <c r="L40" s="531"/>
      <c r="M40" s="531"/>
      <c r="N40" s="531"/>
      <c r="O40" s="531"/>
      <c r="P40" s="531"/>
      <c r="Q40" s="531"/>
      <c r="R40" s="531"/>
      <c r="S40" s="531"/>
      <c r="T40" s="515"/>
      <c r="U40" s="515"/>
      <c r="V40" s="531"/>
      <c r="W40" s="531"/>
      <c r="X40" s="534"/>
      <c r="Y40" s="534"/>
      <c r="Z40" s="571"/>
      <c r="AA40" s="571"/>
      <c r="AB40" s="520"/>
      <c r="AC40" s="520"/>
      <c r="AD40" s="535"/>
      <c r="AE40" s="535"/>
      <c r="AF40" s="509"/>
      <c r="AG40" s="509"/>
      <c r="AH40" s="616"/>
      <c r="AI40" s="616"/>
    </row>
    <row r="41" spans="1:41" s="1" customFormat="1">
      <c r="A41" s="483"/>
      <c r="B41" s="514"/>
      <c r="C41" s="514"/>
      <c r="D41" s="514"/>
      <c r="E41" s="514"/>
      <c r="F41" s="539"/>
      <c r="G41" s="539"/>
      <c r="H41" s="515"/>
      <c r="I41" s="515"/>
      <c r="J41" s="540"/>
      <c r="K41" s="540"/>
      <c r="L41" s="539"/>
      <c r="M41" s="539"/>
      <c r="N41" s="539"/>
      <c r="O41" s="539"/>
      <c r="P41" s="539"/>
      <c r="Q41" s="539"/>
      <c r="R41" s="539"/>
      <c r="S41" s="539"/>
      <c r="T41" s="540"/>
      <c r="U41" s="540"/>
      <c r="V41" s="541"/>
      <c r="W41" s="541"/>
      <c r="X41" s="540"/>
      <c r="Y41" s="540"/>
      <c r="Z41" s="572"/>
      <c r="AA41" s="572"/>
      <c r="AB41" s="520"/>
      <c r="AC41" s="520"/>
      <c r="AD41" s="542"/>
      <c r="AE41" s="542"/>
      <c r="AF41" s="509"/>
      <c r="AG41" s="509"/>
      <c r="AH41" s="616"/>
      <c r="AI41" s="616"/>
    </row>
    <row r="42" spans="1:41" s="1" customFormat="1">
      <c r="A42" s="320" t="s">
        <v>28</v>
      </c>
      <c r="B42" s="399">
        <f>SUM(B3:B41)</f>
        <v>2600</v>
      </c>
      <c r="C42" s="399">
        <f t="shared" ref="C42:I42" si="1">SUM(C3:C41)</f>
        <v>-1921.72</v>
      </c>
      <c r="D42" s="399">
        <f t="shared" si="1"/>
        <v>125</v>
      </c>
      <c r="E42" s="399">
        <f t="shared" si="1"/>
        <v>-124</v>
      </c>
      <c r="F42" s="399">
        <f t="shared" si="1"/>
        <v>2240</v>
      </c>
      <c r="G42" s="399">
        <f t="shared" si="1"/>
        <v>-1118</v>
      </c>
      <c r="H42" s="399">
        <f t="shared" si="1"/>
        <v>9400</v>
      </c>
      <c r="I42" s="399">
        <f t="shared" si="1"/>
        <v>-2399</v>
      </c>
      <c r="J42" s="399">
        <f>J37+J36</f>
        <v>9449</v>
      </c>
      <c r="K42" s="399">
        <f>K37+K36</f>
        <v>-1541.9299999999998</v>
      </c>
      <c r="L42" s="399">
        <f>SUM(L3:L41)</f>
        <v>3600</v>
      </c>
      <c r="M42" s="399">
        <f>SUM(M3:M41)</f>
        <v>0</v>
      </c>
      <c r="N42" s="399">
        <f t="shared" ref="N42:T42" si="2">SUM(N4:N41)</f>
        <v>0</v>
      </c>
      <c r="O42" s="399">
        <f t="shared" si="2"/>
        <v>0</v>
      </c>
      <c r="P42" s="399">
        <f t="shared" si="2"/>
        <v>0</v>
      </c>
      <c r="Q42" s="399">
        <f t="shared" si="2"/>
        <v>0</v>
      </c>
      <c r="R42" s="399">
        <f t="shared" si="2"/>
        <v>250</v>
      </c>
      <c r="S42" s="399">
        <f t="shared" si="2"/>
        <v>-161.27000000000001</v>
      </c>
      <c r="T42" s="399">
        <f t="shared" si="2"/>
        <v>1612.03</v>
      </c>
      <c r="U42" s="399">
        <f>U31+U19+U10+U4+U32</f>
        <v>-1100.31</v>
      </c>
      <c r="V42" s="399">
        <f>SUM(V4:V41)</f>
        <v>1235</v>
      </c>
      <c r="W42" s="399">
        <f>SUM(W3:W41)</f>
        <v>-1542.43</v>
      </c>
      <c r="X42" s="399">
        <f t="shared" ref="X42:Y42" si="3">SUM(X3:X41)</f>
        <v>995</v>
      </c>
      <c r="Y42" s="399">
        <f t="shared" si="3"/>
        <v>-701.92000000000007</v>
      </c>
      <c r="Z42" s="573">
        <f>SUM(Z3:Z41)</f>
        <v>9415</v>
      </c>
      <c r="AA42" s="573">
        <f>SUM(AA3:AA41)</f>
        <v>-3463.7200000000003</v>
      </c>
      <c r="AB42" s="520">
        <f t="shared" ref="AB42:AC42" si="4">SUM(AB3:AB41)</f>
        <v>1520</v>
      </c>
      <c r="AC42" s="520">
        <f t="shared" si="4"/>
        <v>-863.13</v>
      </c>
      <c r="AD42" s="543">
        <f>SUM(AD3:AD41)</f>
        <v>10792.029999999999</v>
      </c>
      <c r="AE42" s="535">
        <f>SUM(AE4:AE41)</f>
        <v>-1889.5</v>
      </c>
      <c r="AF42" s="509">
        <f>AF32</f>
        <v>580</v>
      </c>
      <c r="AG42" s="509">
        <f>AG32</f>
        <v>-580</v>
      </c>
      <c r="AH42" s="617">
        <f>SUM(AH4:AH41)</f>
        <v>1319</v>
      </c>
      <c r="AI42" s="618">
        <f>SUM(AI4:AI41)</f>
        <v>-2858.36</v>
      </c>
    </row>
    <row r="43" spans="1:41" s="1" customFormat="1">
      <c r="A43" s="482"/>
      <c r="B43" s="482"/>
      <c r="C43" s="482"/>
      <c r="D43" s="482"/>
      <c r="E43" s="482"/>
      <c r="F43" s="482"/>
      <c r="G43" s="482"/>
      <c r="J43" s="482"/>
      <c r="K43" s="482"/>
      <c r="L43" s="482"/>
      <c r="M43" s="482"/>
      <c r="N43" s="482"/>
      <c r="O43" s="482"/>
      <c r="P43" s="482"/>
      <c r="Q43" s="482"/>
      <c r="R43" s="482"/>
      <c r="S43" s="482"/>
      <c r="T43" s="482"/>
      <c r="U43" s="482"/>
      <c r="V43" s="482"/>
      <c r="W43" s="482"/>
      <c r="X43" s="544"/>
      <c r="Y43" s="544"/>
      <c r="Z43" s="544"/>
      <c r="AA43" s="544"/>
      <c r="AB43" s="544"/>
      <c r="AC43" s="544"/>
      <c r="AD43" s="544"/>
      <c r="AE43" s="544"/>
    </row>
    <row r="44" spans="1:41" s="1" customFormat="1">
      <c r="B44" s="446"/>
      <c r="C44" s="446"/>
      <c r="D44" s="446"/>
      <c r="E44" s="446"/>
      <c r="F44" s="446"/>
      <c r="G44" s="446"/>
      <c r="H44" s="446"/>
      <c r="I44" s="446"/>
      <c r="J44" s="446"/>
      <c r="K44" s="446"/>
      <c r="L44" s="446"/>
      <c r="M44" s="446"/>
      <c r="N44" s="446"/>
      <c r="O44" s="446"/>
      <c r="P44" s="446"/>
      <c r="Q44" s="446"/>
      <c r="R44" s="446"/>
      <c r="S44" s="446"/>
      <c r="T44" s="446"/>
      <c r="U44" s="446"/>
      <c r="V44" s="786" t="s">
        <v>27</v>
      </c>
      <c r="W44" s="786">
        <f>B42+F42+J42+L42+T42+V42+X42+R42+D42+N42+P42</f>
        <v>22106.03</v>
      </c>
      <c r="X44" s="470">
        <f>C42+G42+K42+M42+U42+W42+Y42+S42+E42</f>
        <v>-8211.58</v>
      </c>
      <c r="Y44" s="465"/>
      <c r="Z44" s="465"/>
      <c r="AA44" s="465"/>
      <c r="AC44" s="446"/>
    </row>
    <row r="45" spans="1:41">
      <c r="B45" s="545"/>
      <c r="C45" s="545"/>
      <c r="D45" s="545"/>
      <c r="E45" s="545"/>
      <c r="F45" s="545"/>
      <c r="G45" s="545"/>
      <c r="H45" s="545"/>
      <c r="I45" s="545"/>
      <c r="J45" s="545"/>
      <c r="K45" s="545"/>
      <c r="L45" s="545"/>
      <c r="M45" s="545"/>
      <c r="N45" s="545"/>
      <c r="O45" s="545"/>
      <c r="P45" s="545"/>
      <c r="Q45" s="545"/>
      <c r="R45" s="545"/>
      <c r="S45" s="545"/>
      <c r="T45" s="545"/>
      <c r="U45" s="545"/>
      <c r="V45" s="470"/>
      <c r="W45" s="470">
        <f>AD42+Z42+AH42+AF42</f>
        <v>22106.03</v>
      </c>
      <c r="X45" s="470">
        <f>AE42+AA42+AI42</f>
        <v>-8211.58</v>
      </c>
      <c r="Y45" s="471"/>
      <c r="Z45" s="471"/>
      <c r="AA45" s="471"/>
      <c r="AC45" s="470"/>
    </row>
    <row r="46" spans="1:41">
      <c r="B46" s="545"/>
      <c r="C46" s="545"/>
      <c r="D46" s="545"/>
      <c r="E46" s="545"/>
      <c r="F46" s="545"/>
      <c r="G46" s="545"/>
      <c r="H46" s="545"/>
      <c r="I46" s="545"/>
      <c r="J46" s="545"/>
      <c r="K46" s="545"/>
      <c r="L46" s="545"/>
      <c r="M46" s="545"/>
      <c r="N46" s="545"/>
      <c r="O46" s="545"/>
      <c r="P46" s="545"/>
      <c r="Q46" s="545"/>
      <c r="R46" s="545"/>
      <c r="S46" s="470"/>
      <c r="T46" s="545"/>
      <c r="U46" s="545"/>
      <c r="V46" s="470"/>
      <c r="W46" s="470">
        <f>W44-W45</f>
        <v>0</v>
      </c>
      <c r="X46" s="470">
        <f>X44-X45</f>
        <v>0</v>
      </c>
      <c r="Y46" s="471"/>
      <c r="Z46" s="471"/>
      <c r="AA46" s="471"/>
      <c r="AC46" s="470"/>
    </row>
    <row r="47" spans="1:41">
      <c r="B47" s="517"/>
      <c r="C47" s="517"/>
      <c r="D47" s="517"/>
      <c r="E47" s="517"/>
      <c r="F47" s="546"/>
      <c r="G47" s="546"/>
      <c r="H47" s="547"/>
      <c r="I47" s="547"/>
      <c r="J47" s="546"/>
      <c r="K47" s="546"/>
      <c r="L47" s="546"/>
      <c r="M47" s="546"/>
      <c r="N47" s="546"/>
      <c r="O47" s="546"/>
      <c r="P47" s="546"/>
      <c r="Q47" s="546"/>
      <c r="R47" s="547"/>
      <c r="S47" s="547"/>
      <c r="T47" s="548"/>
      <c r="U47" s="548"/>
      <c r="V47" s="547"/>
      <c r="W47" s="547"/>
      <c r="X47" s="547"/>
      <c r="Y47" s="547"/>
      <c r="Z47" s="547"/>
      <c r="AA47" s="547"/>
      <c r="AB47" s="545"/>
      <c r="AC47" s="545"/>
    </row>
    <row r="48" spans="1:41">
      <c r="B48" s="517"/>
      <c r="C48" s="517"/>
      <c r="D48" s="517"/>
      <c r="E48" s="517"/>
      <c r="F48" s="546"/>
      <c r="G48" s="546"/>
      <c r="H48" s="547"/>
      <c r="I48" s="547"/>
      <c r="J48" s="546"/>
      <c r="K48" s="546"/>
      <c r="L48" s="546"/>
      <c r="M48" s="546"/>
      <c r="N48" s="546"/>
      <c r="O48" s="546"/>
      <c r="P48" s="546"/>
      <c r="Q48" s="546"/>
      <c r="R48" s="547"/>
      <c r="S48" s="547"/>
      <c r="T48" s="548"/>
      <c r="U48" s="548"/>
      <c r="V48" s="547"/>
      <c r="W48" s="547"/>
      <c r="X48" s="547"/>
      <c r="Y48" s="547"/>
      <c r="Z48" s="547"/>
      <c r="AA48" s="547"/>
      <c r="AB48" s="545"/>
      <c r="AC48" s="545"/>
    </row>
    <row r="49" spans="2:29">
      <c r="B49" s="517"/>
      <c r="C49" s="517"/>
      <c r="D49" s="517"/>
      <c r="E49" s="517"/>
      <c r="F49" s="546"/>
      <c r="G49" s="546"/>
      <c r="H49" s="547"/>
      <c r="I49" s="547"/>
      <c r="J49" s="546"/>
      <c r="K49" s="546"/>
      <c r="L49" s="546"/>
      <c r="M49" s="546"/>
      <c r="N49" s="546"/>
      <c r="O49" s="546"/>
      <c r="P49" s="546"/>
      <c r="Q49" s="546"/>
      <c r="R49" s="547"/>
      <c r="S49" s="547"/>
      <c r="T49" s="548"/>
      <c r="U49" s="548"/>
      <c r="V49" s="547"/>
      <c r="W49" s="547"/>
      <c r="X49" s="547"/>
      <c r="Y49" s="547"/>
      <c r="Z49" s="547"/>
      <c r="AA49" s="547"/>
      <c r="AB49" s="545"/>
      <c r="AC49" s="545"/>
    </row>
    <row r="50" spans="2:29">
      <c r="B50" s="517"/>
      <c r="C50" s="517"/>
      <c r="D50" s="517"/>
      <c r="E50" s="517"/>
      <c r="F50" s="546"/>
      <c r="G50" s="546"/>
      <c r="H50" s="547"/>
      <c r="I50" s="547"/>
      <c r="J50" s="546"/>
      <c r="K50" s="546"/>
      <c r="L50" s="546"/>
      <c r="M50" s="546"/>
      <c r="N50" s="546"/>
      <c r="O50" s="546"/>
      <c r="P50" s="546"/>
      <c r="Q50" s="546"/>
      <c r="R50" s="547"/>
      <c r="S50" s="547"/>
      <c r="T50" s="548"/>
      <c r="U50" s="548"/>
      <c r="V50" s="547"/>
      <c r="W50" s="547"/>
      <c r="X50" s="547"/>
      <c r="Y50" s="547"/>
      <c r="Z50" s="547"/>
      <c r="AA50" s="547"/>
      <c r="AB50" s="545"/>
      <c r="AC50" s="545"/>
    </row>
    <row r="51" spans="2:29">
      <c r="B51" s="517"/>
      <c r="C51" s="517"/>
      <c r="D51" s="517"/>
      <c r="E51" s="517"/>
      <c r="F51" s="546"/>
      <c r="G51" s="546"/>
      <c r="H51" s="547"/>
      <c r="I51" s="547"/>
      <c r="J51" s="546"/>
      <c r="K51" s="546"/>
      <c r="L51" s="546"/>
      <c r="M51" s="546"/>
      <c r="N51" s="546"/>
      <c r="O51" s="546"/>
      <c r="P51" s="546"/>
      <c r="Q51" s="546"/>
      <c r="R51" s="547"/>
      <c r="S51" s="547"/>
      <c r="T51" s="548"/>
      <c r="U51" s="548"/>
      <c r="V51" s="547"/>
      <c r="W51" s="547"/>
      <c r="X51" s="547"/>
      <c r="Y51" s="547"/>
      <c r="Z51" s="547"/>
      <c r="AA51" s="547"/>
      <c r="AB51" s="545"/>
      <c r="AC51" s="545"/>
    </row>
    <row r="52" spans="2:29">
      <c r="B52" s="517"/>
      <c r="C52" s="517"/>
      <c r="D52" s="517"/>
      <c r="E52" s="517"/>
      <c r="F52" s="546"/>
      <c r="G52" s="546"/>
      <c r="H52" s="547"/>
      <c r="I52" s="547"/>
      <c r="J52" s="546"/>
      <c r="K52" s="546"/>
      <c r="L52" s="546"/>
      <c r="M52" s="546"/>
      <c r="N52" s="546"/>
      <c r="O52" s="546"/>
      <c r="P52" s="546"/>
      <c r="Q52" s="546"/>
      <c r="R52" s="547"/>
      <c r="S52" s="547"/>
      <c r="T52" s="548"/>
      <c r="U52" s="548"/>
      <c r="V52" s="547"/>
      <c r="W52" s="547"/>
      <c r="X52" s="547"/>
      <c r="Y52" s="547"/>
      <c r="Z52" s="547"/>
      <c r="AA52" s="547"/>
      <c r="AB52" s="545"/>
      <c r="AC52" s="545"/>
    </row>
    <row r="53" spans="2:29">
      <c r="B53" s="517"/>
      <c r="C53" s="517"/>
      <c r="D53" s="517"/>
      <c r="E53" s="517"/>
      <c r="F53" s="546"/>
      <c r="G53" s="546"/>
      <c r="H53" s="547"/>
      <c r="I53" s="547"/>
      <c r="J53" s="546"/>
      <c r="K53" s="546"/>
      <c r="L53" s="546"/>
      <c r="M53" s="546"/>
      <c r="N53" s="546"/>
      <c r="O53" s="546"/>
      <c r="P53" s="546"/>
      <c r="Q53" s="546"/>
      <c r="R53" s="547"/>
      <c r="S53" s="547"/>
      <c r="T53" s="548"/>
      <c r="U53" s="548"/>
      <c r="V53" s="547"/>
      <c r="W53" s="547"/>
      <c r="X53" s="547"/>
      <c r="Y53" s="547"/>
      <c r="Z53" s="547"/>
      <c r="AA53" s="547"/>
      <c r="AB53" s="545"/>
      <c r="AC53" s="545"/>
    </row>
    <row r="54" spans="2:29">
      <c r="B54" s="517"/>
      <c r="C54" s="517"/>
      <c r="D54" s="517"/>
      <c r="E54" s="517"/>
      <c r="F54" s="546"/>
      <c r="G54" s="546"/>
      <c r="H54" s="547"/>
      <c r="I54" s="547"/>
      <c r="J54" s="546"/>
      <c r="K54" s="546"/>
      <c r="L54" s="546"/>
      <c r="M54" s="546"/>
      <c r="N54" s="546"/>
      <c r="O54" s="546"/>
      <c r="P54" s="546"/>
      <c r="Q54" s="546"/>
      <c r="R54" s="547"/>
      <c r="S54" s="547"/>
      <c r="T54" s="548"/>
      <c r="U54" s="548"/>
      <c r="V54" s="547"/>
      <c r="W54" s="547"/>
      <c r="X54" s="547"/>
      <c r="Y54" s="547"/>
      <c r="Z54" s="547"/>
      <c r="AA54" s="547"/>
      <c r="AB54" s="545"/>
      <c r="AC54" s="545"/>
    </row>
    <row r="55" spans="2:29">
      <c r="B55" s="517"/>
      <c r="C55" s="517"/>
      <c r="D55" s="517"/>
      <c r="E55" s="517"/>
      <c r="F55" s="546"/>
      <c r="G55" s="546"/>
      <c r="H55" s="547"/>
      <c r="I55" s="547"/>
      <c r="J55" s="546"/>
      <c r="K55" s="546"/>
      <c r="L55" s="546"/>
      <c r="M55" s="546"/>
      <c r="N55" s="546"/>
      <c r="O55" s="546"/>
      <c r="P55" s="546"/>
      <c r="Q55" s="546"/>
      <c r="R55" s="547"/>
      <c r="S55" s="547"/>
      <c r="T55" s="548"/>
      <c r="U55" s="548"/>
      <c r="V55" s="547"/>
      <c r="W55" s="547"/>
      <c r="X55" s="547"/>
      <c r="Y55" s="547"/>
      <c r="Z55" s="547"/>
      <c r="AA55" s="547"/>
      <c r="AB55" s="545"/>
      <c r="AC55" s="545"/>
    </row>
    <row r="56" spans="2:29">
      <c r="B56" s="517"/>
      <c r="C56" s="517"/>
      <c r="D56" s="517"/>
      <c r="E56" s="517"/>
      <c r="F56" s="546"/>
      <c r="G56" s="546"/>
      <c r="H56" s="547"/>
      <c r="I56" s="547"/>
      <c r="J56" s="546"/>
      <c r="K56" s="546"/>
      <c r="L56" s="546"/>
      <c r="M56" s="546"/>
      <c r="N56" s="546"/>
      <c r="O56" s="546"/>
      <c r="P56" s="546"/>
      <c r="Q56" s="546"/>
      <c r="R56" s="547"/>
      <c r="S56" s="547"/>
      <c r="T56" s="548"/>
      <c r="U56" s="548"/>
      <c r="V56" s="547"/>
      <c r="W56" s="547"/>
      <c r="X56" s="547"/>
      <c r="Y56" s="547"/>
      <c r="Z56" s="547"/>
      <c r="AA56" s="547"/>
      <c r="AB56" s="545"/>
      <c r="AC56" s="545"/>
    </row>
    <row r="57" spans="2:29">
      <c r="B57" s="517"/>
      <c r="C57" s="517"/>
      <c r="D57" s="517"/>
      <c r="E57" s="517"/>
      <c r="F57" s="546"/>
      <c r="G57" s="546"/>
      <c r="H57" s="547"/>
      <c r="I57" s="547"/>
      <c r="J57" s="546"/>
      <c r="K57" s="546"/>
      <c r="L57" s="546"/>
      <c r="M57" s="546"/>
      <c r="N57" s="546"/>
      <c r="O57" s="546"/>
      <c r="P57" s="546"/>
      <c r="Q57" s="546"/>
      <c r="R57" s="547"/>
      <c r="S57" s="547"/>
      <c r="T57" s="548"/>
      <c r="U57" s="548"/>
      <c r="V57" s="547"/>
      <c r="W57" s="547"/>
      <c r="X57" s="547"/>
      <c r="Y57" s="547"/>
      <c r="Z57" s="547"/>
      <c r="AA57" s="547"/>
      <c r="AB57" s="545"/>
      <c r="AC57" s="545"/>
    </row>
    <row r="58" spans="2:29">
      <c r="B58" s="517"/>
      <c r="C58" s="517"/>
      <c r="D58" s="517"/>
      <c r="E58" s="517"/>
      <c r="F58" s="546"/>
      <c r="G58" s="546"/>
      <c r="H58" s="547"/>
      <c r="I58" s="547"/>
      <c r="J58" s="546"/>
      <c r="K58" s="546"/>
      <c r="L58" s="546"/>
      <c r="M58" s="546"/>
      <c r="N58" s="546"/>
      <c r="O58" s="546"/>
      <c r="P58" s="546"/>
      <c r="Q58" s="546"/>
      <c r="R58" s="547"/>
      <c r="S58" s="547"/>
      <c r="T58" s="548"/>
      <c r="U58" s="548"/>
      <c r="V58" s="547"/>
      <c r="W58" s="547"/>
      <c r="X58" s="547"/>
      <c r="Y58" s="547"/>
      <c r="Z58" s="547"/>
      <c r="AA58" s="547"/>
      <c r="AB58" s="545"/>
      <c r="AC58" s="545"/>
    </row>
    <row r="59" spans="2:29">
      <c r="B59" s="517"/>
      <c r="C59" s="517"/>
      <c r="D59" s="517"/>
      <c r="E59" s="517"/>
      <c r="F59" s="546"/>
      <c r="G59" s="546"/>
      <c r="H59" s="547"/>
      <c r="I59" s="547"/>
      <c r="J59" s="546"/>
      <c r="K59" s="546"/>
      <c r="L59" s="546"/>
      <c r="M59" s="546"/>
      <c r="N59" s="546"/>
      <c r="O59" s="546"/>
      <c r="P59" s="546"/>
      <c r="Q59" s="546"/>
      <c r="R59" s="547"/>
      <c r="S59" s="547"/>
      <c r="T59" s="548"/>
      <c r="U59" s="548"/>
      <c r="V59" s="547"/>
      <c r="W59" s="547"/>
      <c r="X59" s="547"/>
      <c r="Y59" s="547"/>
      <c r="Z59" s="547"/>
      <c r="AA59" s="547"/>
      <c r="AB59" s="545"/>
      <c r="AC59" s="545"/>
    </row>
    <row r="60" spans="2:29">
      <c r="B60" s="517"/>
      <c r="C60" s="517"/>
      <c r="D60" s="517"/>
      <c r="E60" s="517"/>
      <c r="F60" s="546"/>
      <c r="G60" s="546"/>
      <c r="H60" s="547"/>
      <c r="I60" s="547"/>
      <c r="J60" s="546"/>
      <c r="K60" s="546"/>
      <c r="L60" s="546"/>
      <c r="M60" s="546"/>
      <c r="N60" s="546"/>
      <c r="O60" s="546"/>
      <c r="P60" s="546"/>
      <c r="Q60" s="546"/>
      <c r="R60" s="547"/>
      <c r="S60" s="547"/>
      <c r="T60" s="548"/>
      <c r="U60" s="548"/>
      <c r="V60" s="547"/>
      <c r="W60" s="547"/>
      <c r="X60" s="547"/>
      <c r="Y60" s="547"/>
      <c r="Z60" s="547"/>
      <c r="AA60" s="547"/>
      <c r="AB60" s="545"/>
      <c r="AC60" s="545"/>
    </row>
    <row r="61" spans="2:29">
      <c r="B61" s="517"/>
      <c r="C61" s="517"/>
      <c r="D61" s="517"/>
      <c r="E61" s="517"/>
      <c r="F61" s="546"/>
      <c r="G61" s="546"/>
      <c r="H61" s="547"/>
      <c r="I61" s="547"/>
      <c r="J61" s="546"/>
      <c r="K61" s="546"/>
      <c r="L61" s="546"/>
      <c r="M61" s="546"/>
      <c r="N61" s="546"/>
      <c r="O61" s="546"/>
      <c r="P61" s="546"/>
      <c r="Q61" s="546"/>
      <c r="R61" s="547"/>
      <c r="S61" s="547"/>
      <c r="T61" s="548"/>
      <c r="U61" s="548"/>
      <c r="V61" s="547"/>
      <c r="W61" s="547"/>
      <c r="X61" s="547"/>
      <c r="Y61" s="547"/>
      <c r="Z61" s="547"/>
      <c r="AA61" s="547"/>
      <c r="AB61" s="545"/>
      <c r="AC61" s="545"/>
    </row>
    <row r="62" spans="2:29">
      <c r="B62" s="517"/>
      <c r="C62" s="517"/>
      <c r="D62" s="517"/>
      <c r="E62" s="517"/>
      <c r="F62" s="546"/>
      <c r="G62" s="546"/>
      <c r="H62" s="547"/>
      <c r="I62" s="547"/>
      <c r="J62" s="546"/>
      <c r="K62" s="546"/>
      <c r="L62" s="546"/>
      <c r="M62" s="546"/>
      <c r="N62" s="546"/>
      <c r="O62" s="546"/>
      <c r="P62" s="546"/>
      <c r="Q62" s="546"/>
      <c r="R62" s="547"/>
      <c r="S62" s="547"/>
      <c r="T62" s="548"/>
      <c r="U62" s="548"/>
      <c r="V62" s="547"/>
      <c r="W62" s="547"/>
      <c r="X62" s="547"/>
      <c r="Y62" s="547"/>
      <c r="Z62" s="547"/>
      <c r="AA62" s="547"/>
      <c r="AB62" s="545"/>
      <c r="AC62" s="545"/>
    </row>
    <row r="63" spans="2:29">
      <c r="B63" s="517"/>
      <c r="C63" s="517"/>
      <c r="D63" s="517"/>
      <c r="E63" s="517"/>
      <c r="F63" s="546"/>
      <c r="G63" s="546"/>
      <c r="H63" s="547"/>
      <c r="I63" s="547"/>
      <c r="J63" s="546"/>
      <c r="K63" s="546"/>
      <c r="L63" s="546"/>
      <c r="M63" s="546"/>
      <c r="N63" s="546"/>
      <c r="O63" s="546"/>
      <c r="P63" s="546"/>
      <c r="Q63" s="546"/>
      <c r="R63" s="547"/>
      <c r="S63" s="547"/>
      <c r="T63" s="548"/>
      <c r="U63" s="548"/>
      <c r="V63" s="547"/>
      <c r="W63" s="547"/>
      <c r="X63" s="547"/>
      <c r="Y63" s="547"/>
      <c r="Z63" s="547"/>
      <c r="AA63" s="547"/>
      <c r="AB63" s="545"/>
      <c r="AC63" s="545"/>
    </row>
    <row r="64" spans="2:29">
      <c r="B64" s="517"/>
      <c r="C64" s="517"/>
      <c r="D64" s="517"/>
      <c r="E64" s="517"/>
      <c r="F64" s="546"/>
      <c r="G64" s="546"/>
      <c r="H64" s="547"/>
      <c r="I64" s="547"/>
      <c r="J64" s="546"/>
      <c r="K64" s="546"/>
      <c r="L64" s="546"/>
      <c r="M64" s="546"/>
      <c r="N64" s="546"/>
      <c r="O64" s="546"/>
      <c r="P64" s="546"/>
      <c r="Q64" s="546"/>
      <c r="R64" s="547"/>
      <c r="S64" s="547"/>
      <c r="T64" s="548"/>
      <c r="U64" s="548"/>
      <c r="V64" s="547"/>
      <c r="W64" s="547"/>
      <c r="X64" s="547"/>
      <c r="Y64" s="547"/>
      <c r="Z64" s="547"/>
      <c r="AA64" s="547"/>
      <c r="AB64" s="545"/>
      <c r="AC64" s="545"/>
    </row>
    <row r="65" spans="2:29">
      <c r="B65" s="517"/>
      <c r="C65" s="517"/>
      <c r="D65" s="517"/>
      <c r="E65" s="517"/>
      <c r="F65" s="546"/>
      <c r="G65" s="546"/>
      <c r="H65" s="547"/>
      <c r="I65" s="547"/>
      <c r="J65" s="546"/>
      <c r="K65" s="546"/>
      <c r="L65" s="546"/>
      <c r="M65" s="546"/>
      <c r="N65" s="546"/>
      <c r="O65" s="546"/>
      <c r="P65" s="546"/>
      <c r="Q65" s="546"/>
      <c r="R65" s="547"/>
      <c r="S65" s="547"/>
      <c r="T65" s="548"/>
      <c r="U65" s="548"/>
      <c r="V65" s="547"/>
      <c r="W65" s="547"/>
      <c r="X65" s="547"/>
      <c r="Y65" s="547"/>
      <c r="Z65" s="547"/>
      <c r="AA65" s="547"/>
      <c r="AB65" s="545"/>
      <c r="AC65" s="545"/>
    </row>
    <row r="66" spans="2:29">
      <c r="B66" s="517"/>
      <c r="C66" s="517"/>
      <c r="D66" s="517"/>
      <c r="E66" s="517"/>
      <c r="F66" s="546"/>
      <c r="G66" s="546"/>
      <c r="H66" s="547"/>
      <c r="I66" s="547"/>
      <c r="J66" s="546"/>
      <c r="K66" s="546"/>
      <c r="L66" s="546"/>
      <c r="M66" s="546"/>
      <c r="N66" s="546"/>
      <c r="O66" s="546"/>
      <c r="P66" s="546"/>
      <c r="Q66" s="546"/>
      <c r="R66" s="547"/>
      <c r="S66" s="547"/>
      <c r="T66" s="548"/>
      <c r="U66" s="548"/>
      <c r="V66" s="547"/>
      <c r="W66" s="547"/>
      <c r="X66" s="547"/>
      <c r="Y66" s="547"/>
      <c r="Z66" s="547"/>
      <c r="AA66" s="547"/>
      <c r="AB66" s="545"/>
      <c r="AC66" s="545"/>
    </row>
    <row r="67" spans="2:29">
      <c r="B67" s="517"/>
      <c r="C67" s="517"/>
      <c r="D67" s="517"/>
      <c r="E67" s="517"/>
      <c r="F67" s="546"/>
      <c r="G67" s="546"/>
      <c r="H67" s="547"/>
      <c r="I67" s="547"/>
      <c r="J67" s="546"/>
      <c r="K67" s="546"/>
      <c r="L67" s="546"/>
      <c r="M67" s="546"/>
      <c r="N67" s="546"/>
      <c r="O67" s="546"/>
      <c r="P67" s="546"/>
      <c r="Q67" s="546"/>
      <c r="R67" s="547"/>
      <c r="S67" s="547"/>
      <c r="T67" s="548"/>
      <c r="U67" s="548"/>
      <c r="V67" s="547"/>
      <c r="W67" s="547"/>
      <c r="X67" s="547"/>
      <c r="Y67" s="547"/>
      <c r="Z67" s="547"/>
      <c r="AA67" s="547"/>
      <c r="AB67" s="545"/>
      <c r="AC67" s="545"/>
    </row>
    <row r="68" spans="2:29">
      <c r="B68" s="517"/>
      <c r="C68" s="517"/>
      <c r="D68" s="517"/>
      <c r="E68" s="517"/>
      <c r="F68" s="546"/>
      <c r="G68" s="546"/>
      <c r="H68" s="547"/>
      <c r="I68" s="547"/>
      <c r="J68" s="546"/>
      <c r="K68" s="546"/>
      <c r="L68" s="546"/>
      <c r="M68" s="546"/>
      <c r="N68" s="546"/>
      <c r="O68" s="546"/>
      <c r="P68" s="546"/>
      <c r="Q68" s="546"/>
      <c r="R68" s="547"/>
      <c r="S68" s="547"/>
      <c r="T68" s="548"/>
      <c r="U68" s="548"/>
      <c r="V68" s="547"/>
      <c r="W68" s="547"/>
      <c r="X68" s="547"/>
      <c r="Y68" s="547"/>
      <c r="Z68" s="547"/>
      <c r="AA68" s="547"/>
      <c r="AB68" s="545"/>
      <c r="AC68" s="545"/>
    </row>
    <row r="69" spans="2:29">
      <c r="B69" s="517"/>
      <c r="C69" s="517"/>
      <c r="D69" s="517"/>
      <c r="E69" s="517"/>
      <c r="F69" s="546"/>
      <c r="G69" s="546"/>
      <c r="H69" s="547"/>
      <c r="I69" s="547"/>
      <c r="J69" s="546"/>
      <c r="K69" s="546"/>
      <c r="L69" s="546"/>
      <c r="M69" s="546"/>
      <c r="N69" s="546"/>
      <c r="O69" s="546"/>
      <c r="P69" s="546"/>
      <c r="Q69" s="546"/>
      <c r="R69" s="547"/>
      <c r="S69" s="547"/>
      <c r="T69" s="548"/>
      <c r="U69" s="548"/>
      <c r="V69" s="547"/>
      <c r="W69" s="547"/>
      <c r="X69" s="547"/>
      <c r="Y69" s="547"/>
      <c r="Z69" s="547"/>
      <c r="AA69" s="547"/>
      <c r="AB69" s="545"/>
      <c r="AC69" s="545"/>
    </row>
    <row r="70" spans="2:29">
      <c r="B70" s="517"/>
      <c r="C70" s="517"/>
      <c r="D70" s="517"/>
      <c r="E70" s="517"/>
      <c r="F70" s="546"/>
      <c r="G70" s="546"/>
      <c r="H70" s="547"/>
      <c r="I70" s="547"/>
      <c r="J70" s="546"/>
      <c r="K70" s="546"/>
      <c r="L70" s="546"/>
      <c r="M70" s="546"/>
      <c r="N70" s="546"/>
      <c r="O70" s="546"/>
      <c r="P70" s="546"/>
      <c r="Q70" s="546"/>
      <c r="R70" s="547"/>
      <c r="S70" s="547"/>
      <c r="T70" s="548"/>
      <c r="U70" s="548"/>
      <c r="V70" s="547"/>
      <c r="W70" s="547"/>
      <c r="X70" s="547"/>
      <c r="Y70" s="547"/>
      <c r="Z70" s="547"/>
      <c r="AA70" s="547"/>
      <c r="AB70" s="545"/>
      <c r="AC70" s="545"/>
    </row>
    <row r="71" spans="2:29">
      <c r="B71" s="517"/>
      <c r="C71" s="517"/>
      <c r="D71" s="517"/>
      <c r="E71" s="517"/>
      <c r="F71" s="546"/>
      <c r="G71" s="546"/>
      <c r="H71" s="547"/>
      <c r="I71" s="547"/>
      <c r="J71" s="546"/>
      <c r="K71" s="546"/>
      <c r="L71" s="546"/>
      <c r="M71" s="546"/>
      <c r="N71" s="546"/>
      <c r="O71" s="546"/>
      <c r="P71" s="546"/>
      <c r="Q71" s="546"/>
      <c r="R71" s="547"/>
      <c r="S71" s="547"/>
      <c r="T71" s="548"/>
      <c r="U71" s="548"/>
      <c r="V71" s="547"/>
      <c r="W71" s="547"/>
      <c r="X71" s="547"/>
      <c r="Y71" s="547"/>
      <c r="Z71" s="547"/>
      <c r="AA71" s="547"/>
      <c r="AB71" s="545"/>
      <c r="AC71" s="545"/>
    </row>
  </sheetData>
  <mergeCells count="17">
    <mergeCell ref="AH1:AI1"/>
    <mergeCell ref="V1:W1"/>
    <mergeCell ref="X1:Y1"/>
    <mergeCell ref="AD1:AE1"/>
    <mergeCell ref="Z1:AA1"/>
    <mergeCell ref="AB1:AC1"/>
    <mergeCell ref="AF1:AG1"/>
    <mergeCell ref="B1:C1"/>
    <mergeCell ref="F1:G1"/>
    <mergeCell ref="J1:K1"/>
    <mergeCell ref="L1:M1"/>
    <mergeCell ref="T1:U1"/>
    <mergeCell ref="R1:S1"/>
    <mergeCell ref="D1:E1"/>
    <mergeCell ref="P1:Q1"/>
    <mergeCell ref="N1:O1"/>
    <mergeCell ref="H1:I1"/>
  </mergeCells>
  <printOptions gridLines="1"/>
  <pageMargins left="0.2" right="0.2" top="0.75" bottom="0.75" header="0.3" footer="0.3"/>
  <pageSetup paperSize="17" scale="72" orientation="landscape" r:id="rId1"/>
  <headerFooter>
    <oddHeader>&amp;L&amp;"Calibri,Regular"&amp;8 4/2/19&amp;C&amp;"Calibri,Regular"&amp;K000000 Communications Projections
2019-2020</oddHeader>
    <oddFooter>&amp;L&amp;A, &amp;D&amp;C&amp;"-,Bold"USF Health Confidential&amp;RPage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AL148"/>
  <sheetViews>
    <sheetView zoomScale="80" zoomScaleNormal="80" workbookViewId="0">
      <pane xSplit="1" ySplit="2" topLeftCell="E9" activePane="bottomRight" state="frozen"/>
      <selection pane="topRight" activeCell="B1" sqref="B1"/>
      <selection pane="bottomLeft" activeCell="A3" sqref="A3"/>
      <selection pane="bottomRight" activeCell="U52" sqref="U52"/>
    </sheetView>
  </sheetViews>
  <sheetFormatPr defaultColWidth="9.28515625" defaultRowHeight="12"/>
  <cols>
    <col min="1" max="1" width="29.85546875" style="460" bestFit="1" customWidth="1"/>
    <col min="2" max="2" width="10.7109375" style="470" bestFit="1" customWidth="1"/>
    <col min="3" max="3" width="11.28515625" style="470" bestFit="1" customWidth="1"/>
    <col min="4" max="4" width="6" style="470" bestFit="1" customWidth="1"/>
    <col min="5" max="5" width="12.42578125" style="346" bestFit="1" customWidth="1"/>
    <col min="6" max="6" width="5" style="346" bestFit="1" customWidth="1"/>
    <col min="7" max="7" width="8.28515625" style="452" bestFit="1" customWidth="1"/>
    <col min="8" max="8" width="5" style="452" bestFit="1" customWidth="1"/>
    <col min="9" max="9" width="10.28515625" style="452" bestFit="1" customWidth="1"/>
    <col min="10" max="10" width="7.42578125" style="452" bestFit="1" customWidth="1"/>
    <col min="11" max="11" width="7.28515625" style="452" bestFit="1" customWidth="1"/>
    <col min="12" max="12" width="8.42578125" style="452" bestFit="1" customWidth="1"/>
    <col min="13" max="13" width="9.140625" style="452" bestFit="1" customWidth="1"/>
    <col min="14" max="14" width="8.28515625" style="452" bestFit="1" customWidth="1"/>
    <col min="15" max="15" width="5" style="452" bestFit="1" customWidth="1"/>
    <col min="16" max="16" width="13" style="469" bestFit="1" customWidth="1"/>
    <col min="17" max="17" width="12.5703125" style="469" customWidth="1"/>
    <col min="18" max="18" width="9.42578125" style="452" bestFit="1" customWidth="1"/>
    <col min="19" max="19" width="12" style="452" bestFit="1" customWidth="1"/>
    <col min="20" max="20" width="10.85546875" style="346" bestFit="1" customWidth="1"/>
    <col min="21" max="23" width="8.28515625" style="346" bestFit="1" customWidth="1"/>
    <col min="24" max="24" width="11.42578125" style="305" bestFit="1" customWidth="1"/>
    <col min="25" max="25" width="9.85546875" style="305" bestFit="1" customWidth="1"/>
    <col min="26" max="16384" width="9.28515625" style="305"/>
  </cols>
  <sheetData>
    <row r="1" spans="1:37" s="317" customFormat="1" ht="49.9" customHeight="1">
      <c r="A1" s="326"/>
      <c r="B1" s="941" t="s">
        <v>122</v>
      </c>
      <c r="C1" s="942"/>
      <c r="D1" s="942"/>
      <c r="E1" s="942"/>
      <c r="F1" s="943"/>
      <c r="G1" s="914" t="s">
        <v>38</v>
      </c>
      <c r="H1" s="944"/>
      <c r="I1" s="924" t="s">
        <v>75</v>
      </c>
      <c r="J1" s="946"/>
      <c r="K1" s="946"/>
      <c r="L1" s="946"/>
      <c r="M1" s="947"/>
      <c r="N1" s="887" t="s">
        <v>133</v>
      </c>
      <c r="O1" s="887"/>
      <c r="P1" s="891" t="s">
        <v>275</v>
      </c>
      <c r="Q1" s="891"/>
      <c r="R1" s="883" t="s">
        <v>46</v>
      </c>
      <c r="S1" s="883"/>
      <c r="T1" s="891" t="s">
        <v>339</v>
      </c>
      <c r="U1" s="891"/>
      <c r="V1" s="883" t="s">
        <v>272</v>
      </c>
      <c r="W1" s="883"/>
      <c r="X1" s="883" t="s">
        <v>262</v>
      </c>
      <c r="Y1" s="883"/>
      <c r="Z1" s="948" t="s">
        <v>113</v>
      </c>
      <c r="AA1" s="948"/>
      <c r="AB1" s="886" t="s">
        <v>98</v>
      </c>
      <c r="AC1" s="945"/>
      <c r="AD1" s="892" t="s">
        <v>105</v>
      </c>
      <c r="AE1" s="893"/>
      <c r="AF1" s="932" t="s">
        <v>222</v>
      </c>
      <c r="AG1" s="933"/>
      <c r="AH1" s="894" t="s">
        <v>204</v>
      </c>
      <c r="AI1" s="894"/>
      <c r="AJ1" s="939" t="s">
        <v>340</v>
      </c>
      <c r="AK1" s="940"/>
    </row>
    <row r="2" spans="1:37" s="318" customFormat="1" ht="36">
      <c r="A2" s="825"/>
      <c r="B2" s="369" t="s">
        <v>4</v>
      </c>
      <c r="C2" s="462" t="s">
        <v>209</v>
      </c>
      <c r="D2" s="369" t="s">
        <v>288</v>
      </c>
      <c r="E2" s="704" t="s">
        <v>210</v>
      </c>
      <c r="F2" s="704"/>
      <c r="G2" s="369" t="s">
        <v>4</v>
      </c>
      <c r="H2" s="462" t="s">
        <v>93</v>
      </c>
      <c r="I2" s="462" t="s">
        <v>24</v>
      </c>
      <c r="J2" s="331" t="s">
        <v>211</v>
      </c>
      <c r="K2" s="462" t="s">
        <v>212</v>
      </c>
      <c r="L2" s="462" t="s">
        <v>213</v>
      </c>
      <c r="M2" s="462" t="s">
        <v>214</v>
      </c>
      <c r="N2" s="462" t="s">
        <v>24</v>
      </c>
      <c r="O2" s="462" t="s">
        <v>93</v>
      </c>
      <c r="P2" s="328" t="s">
        <v>4</v>
      </c>
      <c r="Q2" s="328" t="s">
        <v>94</v>
      </c>
      <c r="R2" s="818" t="s">
        <v>4</v>
      </c>
      <c r="S2" s="818" t="s">
        <v>93</v>
      </c>
      <c r="T2" s="818" t="s">
        <v>259</v>
      </c>
      <c r="U2" s="818" t="s">
        <v>260</v>
      </c>
      <c r="V2" s="818" t="s">
        <v>259</v>
      </c>
      <c r="W2" s="818" t="s">
        <v>260</v>
      </c>
      <c r="X2" s="818" t="s">
        <v>259</v>
      </c>
      <c r="Y2" s="818" t="s">
        <v>260</v>
      </c>
      <c r="Z2" s="462" t="s">
        <v>24</v>
      </c>
      <c r="AA2" s="462" t="s">
        <v>93</v>
      </c>
      <c r="AB2" s="403" t="s">
        <v>24</v>
      </c>
      <c r="AC2" s="403" t="s">
        <v>93</v>
      </c>
      <c r="AD2" s="794" t="s">
        <v>4</v>
      </c>
      <c r="AE2" s="794" t="s">
        <v>94</v>
      </c>
      <c r="AF2" s="798" t="s">
        <v>4</v>
      </c>
      <c r="AG2" s="798" t="s">
        <v>94</v>
      </c>
      <c r="AH2" s="804" t="s">
        <v>112</v>
      </c>
      <c r="AI2" s="804" t="s">
        <v>93</v>
      </c>
      <c r="AJ2" s="816" t="s">
        <v>259</v>
      </c>
      <c r="AK2" s="816" t="s">
        <v>260</v>
      </c>
    </row>
    <row r="3" spans="1:37" s="318" customFormat="1">
      <c r="A3" s="499" t="s">
        <v>23</v>
      </c>
      <c r="B3" s="369"/>
      <c r="C3" s="462"/>
      <c r="D3" s="369"/>
      <c r="E3" s="823"/>
      <c r="F3" s="823"/>
      <c r="G3" s="369"/>
      <c r="H3" s="462"/>
      <c r="I3" s="462"/>
      <c r="J3" s="331"/>
      <c r="K3" s="462"/>
      <c r="L3" s="462"/>
      <c r="M3" s="462"/>
      <c r="N3" s="462"/>
      <c r="O3" s="462"/>
      <c r="P3" s="818"/>
      <c r="Q3" s="818"/>
      <c r="R3" s="818"/>
      <c r="S3" s="818"/>
      <c r="T3" s="818">
        <v>-3959.82</v>
      </c>
      <c r="U3" s="818">
        <v>3959.82</v>
      </c>
      <c r="V3" s="818"/>
      <c r="W3" s="818"/>
      <c r="X3" s="818"/>
      <c r="Y3" s="818"/>
      <c r="Z3" s="462"/>
      <c r="AA3" s="462"/>
      <c r="AB3" s="403"/>
      <c r="AC3" s="403"/>
      <c r="AD3" s="821"/>
      <c r="AE3" s="821"/>
      <c r="AF3" s="798"/>
      <c r="AG3" s="798"/>
      <c r="AH3" s="820"/>
      <c r="AI3" s="820"/>
      <c r="AJ3" s="816">
        <f>T3</f>
        <v>-3959.82</v>
      </c>
      <c r="AK3" s="816">
        <f>U3</f>
        <v>3959.82</v>
      </c>
    </row>
    <row r="4" spans="1:37" s="318" customFormat="1" ht="15">
      <c r="A4" s="502" t="s">
        <v>172</v>
      </c>
      <c r="B4" s="502"/>
      <c r="C4" s="502"/>
      <c r="D4" s="502"/>
      <c r="E4" s="502"/>
      <c r="F4" s="502"/>
      <c r="G4" s="502"/>
      <c r="H4" s="502"/>
      <c r="I4" s="502"/>
      <c r="J4" s="502"/>
      <c r="K4" s="502"/>
      <c r="L4" s="502"/>
      <c r="M4" s="502"/>
      <c r="N4" s="502"/>
      <c r="O4" s="502"/>
      <c r="P4" s="502"/>
      <c r="Q4" s="502"/>
      <c r="R4" s="502"/>
      <c r="S4" s="502"/>
      <c r="T4" s="502"/>
      <c r="U4" s="502"/>
      <c r="V4" s="502"/>
      <c r="W4" s="502"/>
      <c r="X4" s="502"/>
      <c r="Y4" s="502"/>
      <c r="Z4" s="502"/>
      <c r="AA4" s="502"/>
      <c r="AB4" s="502"/>
      <c r="AC4" s="502"/>
      <c r="AD4" s="502"/>
      <c r="AE4" s="502"/>
      <c r="AF4" s="502"/>
      <c r="AG4" s="502"/>
      <c r="AH4" s="502"/>
      <c r="AI4" s="502"/>
      <c r="AJ4" s="502"/>
      <c r="AK4" s="502"/>
    </row>
    <row r="5" spans="1:37" s="318" customFormat="1">
      <c r="A5" s="499" t="s">
        <v>372</v>
      </c>
      <c r="B5" s="369"/>
      <c r="C5" s="462"/>
      <c r="D5" s="369"/>
      <c r="E5" s="823"/>
      <c r="F5" s="823"/>
      <c r="G5" s="369"/>
      <c r="H5" s="462"/>
      <c r="I5" s="462"/>
      <c r="J5" s="331"/>
      <c r="K5" s="462"/>
      <c r="L5" s="462"/>
      <c r="M5" s="462"/>
      <c r="N5" s="462"/>
      <c r="O5" s="462"/>
      <c r="P5" s="818"/>
      <c r="Q5" s="818"/>
      <c r="R5" s="833"/>
      <c r="S5" s="833"/>
      <c r="T5" s="522"/>
      <c r="U5" s="522">
        <f>AK5</f>
        <v>0</v>
      </c>
      <c r="X5" s="669"/>
      <c r="Y5" s="522"/>
      <c r="Z5" s="462"/>
      <c r="AA5" s="462"/>
      <c r="AB5" s="403"/>
      <c r="AC5" s="403"/>
      <c r="AD5" s="821"/>
      <c r="AE5" s="821"/>
      <c r="AF5" s="798"/>
      <c r="AG5" s="798"/>
      <c r="AH5" s="820"/>
      <c r="AI5" s="820"/>
      <c r="AJ5" s="751"/>
      <c r="AK5" s="751"/>
    </row>
    <row r="6" spans="1:37" s="1" customFormat="1" ht="15">
      <c r="A6" s="502" t="s">
        <v>146</v>
      </c>
      <c r="B6" s="549"/>
      <c r="C6" s="549"/>
      <c r="D6" s="549"/>
      <c r="E6" s="549"/>
      <c r="F6" s="549"/>
      <c r="G6" s="550"/>
      <c r="H6" s="550"/>
      <c r="I6" s="550"/>
      <c r="J6" s="550"/>
      <c r="K6" s="550"/>
      <c r="L6" s="550"/>
      <c r="M6" s="550"/>
      <c r="N6" s="550"/>
      <c r="O6" s="550"/>
      <c r="P6" s="550"/>
      <c r="Q6" s="550"/>
      <c r="R6" s="550"/>
      <c r="S6" s="550"/>
      <c r="T6" s="578"/>
      <c r="U6" s="578"/>
      <c r="V6" s="578"/>
      <c r="W6" s="578"/>
      <c r="X6" s="578"/>
      <c r="Y6" s="578"/>
      <c r="Z6" s="550"/>
      <c r="AA6" s="550"/>
      <c r="AB6" s="550"/>
      <c r="AC6" s="550"/>
      <c r="AD6" s="550"/>
      <c r="AE6" s="550"/>
      <c r="AF6" s="644"/>
      <c r="AG6" s="644"/>
      <c r="AH6" s="549"/>
      <c r="AI6" s="549"/>
      <c r="AJ6" s="549"/>
      <c r="AK6" s="549"/>
    </row>
    <row r="7" spans="1:37" s="318" customFormat="1">
      <c r="A7" s="477" t="s">
        <v>154</v>
      </c>
      <c r="B7" s="369"/>
      <c r="C7" s="462"/>
      <c r="D7" s="369"/>
      <c r="E7" s="878"/>
      <c r="F7" s="878"/>
      <c r="G7" s="369"/>
      <c r="H7" s="462"/>
      <c r="I7" s="462"/>
      <c r="J7" s="331"/>
      <c r="K7" s="462"/>
      <c r="L7" s="462"/>
      <c r="M7" s="462"/>
      <c r="N7" s="462"/>
      <c r="O7" s="462"/>
      <c r="P7" s="875"/>
      <c r="Q7" s="875"/>
      <c r="R7" s="833"/>
      <c r="S7" s="833"/>
      <c r="T7" s="522"/>
      <c r="U7" s="522"/>
      <c r="X7" s="669"/>
      <c r="Y7" s="522"/>
      <c r="Z7" s="462"/>
      <c r="AA7" s="462"/>
      <c r="AB7" s="403"/>
      <c r="AC7" s="403"/>
      <c r="AD7" s="877"/>
      <c r="AE7" s="877"/>
      <c r="AF7" s="798"/>
      <c r="AG7" s="798"/>
      <c r="AH7" s="876"/>
      <c r="AI7" s="876"/>
      <c r="AJ7" s="751"/>
      <c r="AK7" s="751"/>
    </row>
    <row r="8" spans="1:37" s="1" customFormat="1">
      <c r="A8" s="477" t="s">
        <v>154</v>
      </c>
      <c r="B8" s="551"/>
      <c r="C8" s="551"/>
      <c r="D8" s="551"/>
      <c r="E8" s="551"/>
      <c r="F8" s="551"/>
      <c r="G8" s="399"/>
      <c r="H8" s="399"/>
      <c r="I8" s="399"/>
      <c r="J8" s="399"/>
      <c r="K8" s="399"/>
      <c r="L8" s="399"/>
      <c r="M8" s="399"/>
      <c r="N8" s="399"/>
      <c r="O8" s="399"/>
      <c r="P8" s="399"/>
      <c r="Q8" s="399"/>
      <c r="R8" s="802"/>
      <c r="S8" s="725"/>
      <c r="T8" s="522"/>
      <c r="U8" s="522"/>
      <c r="V8" s="519">
        <v>300</v>
      </c>
      <c r="W8" s="522"/>
      <c r="X8" s="669">
        <v>150</v>
      </c>
      <c r="Y8" s="522"/>
      <c r="Z8" s="552">
        <v>300</v>
      </c>
      <c r="AA8" s="399">
        <f>-13.94-13.62-8.94</f>
        <v>-36.5</v>
      </c>
      <c r="AB8" s="552">
        <f>V8+Z8</f>
        <v>600</v>
      </c>
      <c r="AC8" s="552">
        <f>W8+AA8</f>
        <v>-36.5</v>
      </c>
      <c r="AD8" s="553"/>
      <c r="AE8" s="553"/>
      <c r="AF8" s="567">
        <f>X8</f>
        <v>150</v>
      </c>
      <c r="AG8" s="567">
        <f>Y8</f>
        <v>0</v>
      </c>
      <c r="AH8" s="804"/>
      <c r="AI8" s="804"/>
      <c r="AJ8" s="751"/>
      <c r="AK8" s="751"/>
    </row>
    <row r="9" spans="1:37" s="1" customFormat="1">
      <c r="A9" s="477" t="s">
        <v>154</v>
      </c>
      <c r="B9" s="551"/>
      <c r="C9" s="551"/>
      <c r="D9" s="551"/>
      <c r="E9" s="551"/>
      <c r="F9" s="551"/>
      <c r="G9" s="399"/>
      <c r="H9" s="399"/>
      <c r="I9" s="399"/>
      <c r="J9" s="399"/>
      <c r="K9" s="399"/>
      <c r="L9" s="399"/>
      <c r="M9" s="399"/>
      <c r="N9" s="399"/>
      <c r="O9" s="399"/>
      <c r="P9" s="399"/>
      <c r="Q9" s="399"/>
      <c r="R9" s="725"/>
      <c r="S9" s="725"/>
      <c r="T9" s="522"/>
      <c r="U9" s="522"/>
      <c r="V9" s="669">
        <v>60</v>
      </c>
      <c r="W9" s="522">
        <v>-59.28</v>
      </c>
      <c r="X9" s="669">
        <v>350</v>
      </c>
      <c r="Y9" s="522"/>
      <c r="Z9" s="399"/>
      <c r="AA9" s="399"/>
      <c r="AB9" s="552"/>
      <c r="AC9" s="552"/>
      <c r="AD9" s="553"/>
      <c r="AE9" s="553"/>
      <c r="AF9" s="567">
        <f>X9+V9</f>
        <v>410</v>
      </c>
      <c r="AG9" s="567">
        <f>Y9+W9</f>
        <v>-59.28</v>
      </c>
      <c r="AH9" s="804"/>
      <c r="AI9" s="804"/>
      <c r="AJ9" s="751"/>
      <c r="AK9" s="751"/>
    </row>
    <row r="10" spans="1:37" s="1" customFormat="1">
      <c r="A10" s="477" t="s">
        <v>139</v>
      </c>
      <c r="B10" s="551"/>
      <c r="C10" s="551"/>
      <c r="D10" s="551"/>
      <c r="E10" s="551"/>
      <c r="F10" s="551"/>
      <c r="G10" s="399"/>
      <c r="H10" s="399"/>
      <c r="I10" s="399"/>
      <c r="J10" s="399"/>
      <c r="K10" s="399"/>
      <c r="L10" s="399"/>
      <c r="M10" s="399"/>
      <c r="N10" s="399"/>
      <c r="O10" s="399"/>
      <c r="P10" s="399"/>
      <c r="Q10" s="399"/>
      <c r="R10" s="725"/>
      <c r="S10" s="725"/>
      <c r="T10" s="522"/>
      <c r="U10" s="522"/>
      <c r="V10" s="519"/>
      <c r="W10" s="522"/>
      <c r="X10" s="669">
        <v>770</v>
      </c>
      <c r="Y10" s="522"/>
      <c r="Z10" s="399"/>
      <c r="AA10" s="399"/>
      <c r="AB10" s="552"/>
      <c r="AC10" s="552"/>
      <c r="AD10" s="553"/>
      <c r="AE10" s="553"/>
      <c r="AF10" s="567">
        <f>X10</f>
        <v>770</v>
      </c>
      <c r="AG10" s="567">
        <f t="shared" ref="AG10:AG12" si="0">Y10</f>
        <v>0</v>
      </c>
      <c r="AH10" s="804"/>
      <c r="AI10" s="804"/>
      <c r="AJ10" s="751"/>
      <c r="AK10" s="751"/>
    </row>
    <row r="11" spans="1:37" s="1" customFormat="1">
      <c r="A11" s="477" t="s">
        <v>138</v>
      </c>
      <c r="B11" s="551"/>
      <c r="C11" s="551"/>
      <c r="D11" s="551"/>
      <c r="E11" s="551"/>
      <c r="F11" s="551"/>
      <c r="G11" s="399"/>
      <c r="H11" s="399"/>
      <c r="I11" s="399"/>
      <c r="J11" s="399"/>
      <c r="K11" s="399"/>
      <c r="L11" s="399"/>
      <c r="M11" s="399"/>
      <c r="N11" s="399"/>
      <c r="O11" s="399"/>
      <c r="P11" s="399"/>
      <c r="Q11" s="399"/>
      <c r="R11" s="725"/>
      <c r="S11" s="725"/>
      <c r="T11" s="522"/>
      <c r="U11" s="522"/>
      <c r="V11" s="522"/>
      <c r="W11" s="522"/>
      <c r="X11" s="669">
        <v>100</v>
      </c>
      <c r="Y11" s="522"/>
      <c r="Z11" s="399"/>
      <c r="AA11" s="399"/>
      <c r="AB11" s="552"/>
      <c r="AC11" s="552"/>
      <c r="AD11" s="553"/>
      <c r="AE11" s="553"/>
      <c r="AF11" s="567">
        <f t="shared" ref="AF11:AF12" si="1">X11</f>
        <v>100</v>
      </c>
      <c r="AG11" s="567">
        <f t="shared" si="0"/>
        <v>0</v>
      </c>
      <c r="AH11" s="804"/>
      <c r="AI11" s="804"/>
      <c r="AJ11" s="751"/>
      <c r="AK11" s="751"/>
    </row>
    <row r="12" spans="1:37" s="1" customFormat="1">
      <c r="A12" s="477" t="s">
        <v>141</v>
      </c>
      <c r="B12" s="551"/>
      <c r="C12" s="551"/>
      <c r="D12" s="551"/>
      <c r="E12" s="551"/>
      <c r="F12" s="551"/>
      <c r="G12" s="399"/>
      <c r="H12" s="399"/>
      <c r="I12" s="399"/>
      <c r="J12" s="399"/>
      <c r="K12" s="399"/>
      <c r="L12" s="399"/>
      <c r="M12" s="399"/>
      <c r="N12" s="399"/>
      <c r="O12" s="399"/>
      <c r="P12" s="399"/>
      <c r="Q12" s="399"/>
      <c r="R12" s="725"/>
      <c r="S12" s="725"/>
      <c r="T12" s="522"/>
      <c r="U12" s="522"/>
      <c r="V12" s="669"/>
      <c r="W12" s="522"/>
      <c r="X12" s="669">
        <v>320</v>
      </c>
      <c r="Y12" s="522"/>
      <c r="Z12" s="399"/>
      <c r="AA12" s="399"/>
      <c r="AB12" s="552"/>
      <c r="AC12" s="552"/>
      <c r="AD12" s="553"/>
      <c r="AE12" s="553"/>
      <c r="AF12" s="567">
        <f t="shared" si="1"/>
        <v>320</v>
      </c>
      <c r="AG12" s="567">
        <f t="shared" si="0"/>
        <v>0</v>
      </c>
      <c r="AH12" s="804"/>
      <c r="AI12" s="804"/>
      <c r="AJ12" s="751"/>
      <c r="AK12" s="751"/>
    </row>
    <row r="13" spans="1:37" s="1" customFormat="1">
      <c r="A13" s="477" t="s">
        <v>9</v>
      </c>
      <c r="B13" s="552"/>
      <c r="C13" s="551"/>
      <c r="D13" s="551"/>
      <c r="E13" s="551"/>
      <c r="F13" s="551"/>
      <c r="G13" s="399"/>
      <c r="H13" s="399"/>
      <c r="I13" s="399"/>
      <c r="J13" s="399"/>
      <c r="K13" s="399"/>
      <c r="L13" s="399"/>
      <c r="M13" s="399"/>
      <c r="N13" s="399"/>
      <c r="O13" s="399"/>
      <c r="P13" s="399"/>
      <c r="Q13" s="399"/>
      <c r="R13" s="802"/>
      <c r="S13" s="725"/>
      <c r="T13" s="522"/>
      <c r="U13" s="522"/>
      <c r="V13" s="519">
        <v>250</v>
      </c>
      <c r="W13" s="522">
        <v>-8</v>
      </c>
      <c r="X13" s="669"/>
      <c r="Y13" s="522"/>
      <c r="Z13" s="552">
        <v>500</v>
      </c>
      <c r="AA13" s="399">
        <f>-85.4-38.52-40.44</f>
        <v>-164.36</v>
      </c>
      <c r="AB13" s="552">
        <f>V13+Z13</f>
        <v>750</v>
      </c>
      <c r="AC13" s="552">
        <f>W13+AA13</f>
        <v>-172.36</v>
      </c>
      <c r="AD13" s="553"/>
      <c r="AE13" s="553"/>
      <c r="AF13" s="567"/>
      <c r="AG13" s="567"/>
      <c r="AH13" s="804"/>
      <c r="AI13" s="804"/>
      <c r="AJ13" s="751"/>
      <c r="AK13" s="751"/>
    </row>
    <row r="14" spans="1:37" s="1" customFormat="1">
      <c r="A14" s="477" t="s">
        <v>9</v>
      </c>
      <c r="B14" s="552"/>
      <c r="C14" s="551"/>
      <c r="D14" s="551"/>
      <c r="E14" s="551"/>
      <c r="F14" s="551"/>
      <c r="G14" s="399"/>
      <c r="H14" s="399"/>
      <c r="I14" s="399"/>
      <c r="J14" s="399"/>
      <c r="K14" s="399"/>
      <c r="L14" s="399"/>
      <c r="M14" s="399"/>
      <c r="N14" s="399"/>
      <c r="O14" s="399"/>
      <c r="P14" s="399"/>
      <c r="Q14" s="399"/>
      <c r="R14" s="802"/>
      <c r="S14" s="725"/>
      <c r="T14" s="751">
        <v>3570.4</v>
      </c>
      <c r="U14" s="522">
        <f>-2003.4-577-990</f>
        <v>-3570.4</v>
      </c>
      <c r="V14" s="516">
        <v>114.18</v>
      </c>
      <c r="W14" s="522">
        <f>-26.53-87.65</f>
        <v>-114.18</v>
      </c>
      <c r="X14" s="669">
        <v>1800</v>
      </c>
      <c r="Y14" s="522">
        <f>-62.03-18.92-16.89-25.54-35.84-49.69-22.71-14.98-47.06-44.39-25-25-31.12-47.11-26.29-44.98-70-30.34-17.95-32.58-18.77-45-42.81-29.54-19.12-26.46-44.98-11.48-55-60-20-12-19.61-33.67</f>
        <v>-1126.8599999999999</v>
      </c>
      <c r="Z14" s="552"/>
      <c r="AA14" s="399"/>
      <c r="AB14" s="552"/>
      <c r="AC14" s="552"/>
      <c r="AD14" s="553">
        <f>V14</f>
        <v>114.18</v>
      </c>
      <c r="AE14" s="553">
        <f>W14</f>
        <v>-114.18</v>
      </c>
      <c r="AF14" s="567">
        <f>X14</f>
        <v>1800</v>
      </c>
      <c r="AG14" s="567">
        <f>Y14</f>
        <v>-1126.8599999999999</v>
      </c>
      <c r="AH14" s="820"/>
      <c r="AI14" s="820"/>
      <c r="AJ14" s="751">
        <f>T14</f>
        <v>3570.4</v>
      </c>
      <c r="AK14" s="751">
        <f>U14</f>
        <v>-3570.4</v>
      </c>
    </row>
    <row r="15" spans="1:37" s="1" customFormat="1">
      <c r="A15" s="477" t="s">
        <v>215</v>
      </c>
      <c r="B15" s="552"/>
      <c r="C15" s="551"/>
      <c r="D15" s="551"/>
      <c r="E15" s="551"/>
      <c r="F15" s="551"/>
      <c r="G15" s="399"/>
      <c r="H15" s="399"/>
      <c r="I15" s="399"/>
      <c r="J15" s="399"/>
      <c r="K15" s="399"/>
      <c r="L15" s="399"/>
      <c r="M15" s="399"/>
      <c r="N15" s="399"/>
      <c r="O15" s="399"/>
      <c r="P15" s="399"/>
      <c r="Q15" s="399"/>
      <c r="R15" s="802"/>
      <c r="S15" s="725"/>
      <c r="T15" s="522"/>
      <c r="U15" s="522"/>
      <c r="V15" s="516">
        <v>65</v>
      </c>
      <c r="W15" s="522">
        <f>-4-4-4.9-4.9-3.25-1.65-9.65-9.65-4.9-4-4-8.15</f>
        <v>-63.05</v>
      </c>
      <c r="X15" s="669"/>
      <c r="Y15" s="522"/>
      <c r="Z15" s="552"/>
      <c r="AA15" s="399"/>
      <c r="AB15" s="552"/>
      <c r="AC15" s="552"/>
      <c r="AD15" s="553">
        <f>V15</f>
        <v>65</v>
      </c>
      <c r="AE15" s="553">
        <f>W15</f>
        <v>-63.05</v>
      </c>
      <c r="AF15" s="567"/>
      <c r="AG15" s="567"/>
      <c r="AH15" s="820"/>
      <c r="AI15" s="820"/>
      <c r="AJ15" s="751"/>
      <c r="AK15" s="751"/>
    </row>
    <row r="16" spans="1:37" s="1" customFormat="1">
      <c r="A16" s="477" t="s">
        <v>215</v>
      </c>
      <c r="B16" s="551"/>
      <c r="C16" s="551"/>
      <c r="D16" s="551"/>
      <c r="E16" s="551"/>
      <c r="F16" s="551"/>
      <c r="G16" s="399"/>
      <c r="H16" s="399"/>
      <c r="I16" s="399"/>
      <c r="J16" s="399"/>
      <c r="K16" s="399"/>
      <c r="L16" s="399"/>
      <c r="M16" s="399"/>
      <c r="N16" s="399"/>
      <c r="O16" s="399"/>
      <c r="P16" s="552">
        <v>1200</v>
      </c>
      <c r="Q16" s="399"/>
      <c r="R16" s="802"/>
      <c r="S16" s="725"/>
      <c r="T16" s="751">
        <v>6.5</v>
      </c>
      <c r="U16" s="522">
        <v>-6.5</v>
      </c>
      <c r="V16" s="519">
        <v>100</v>
      </c>
      <c r="W16" s="522">
        <f>-3.25-8.15</f>
        <v>-11.4</v>
      </c>
      <c r="X16" s="669">
        <v>120</v>
      </c>
      <c r="Y16" s="522">
        <f>-12-2.35-3.45-3.45-6-3.45-1.9-1.9-2-1.7-6-5-1.55-1.9-3.25-3.25-3.35-1.95-4.35-3.26-125-42-2.25</f>
        <v>-241.31</v>
      </c>
      <c r="Z16" s="552">
        <v>50</v>
      </c>
      <c r="AA16" s="399">
        <v>-8.15</v>
      </c>
      <c r="AB16" s="552">
        <f>P16+V16+Z16</f>
        <v>1350</v>
      </c>
      <c r="AC16" s="552">
        <f>Q16+W16+AA16</f>
        <v>-19.55</v>
      </c>
      <c r="AD16" s="553"/>
      <c r="AE16" s="553"/>
      <c r="AF16" s="567">
        <f>X16</f>
        <v>120</v>
      </c>
      <c r="AG16" s="567">
        <f>Y16</f>
        <v>-241.31</v>
      </c>
      <c r="AH16" s="804"/>
      <c r="AI16" s="804"/>
      <c r="AJ16" s="751">
        <f>T16</f>
        <v>6.5</v>
      </c>
      <c r="AK16" s="751">
        <f>U16</f>
        <v>-6.5</v>
      </c>
    </row>
    <row r="17" spans="1:37" s="1" customFormat="1" ht="15">
      <c r="A17" s="502" t="s">
        <v>147</v>
      </c>
      <c r="B17" s="549"/>
      <c r="C17" s="549"/>
      <c r="D17" s="549"/>
      <c r="E17" s="549"/>
      <c r="F17" s="549"/>
      <c r="G17" s="550"/>
      <c r="H17" s="550"/>
      <c r="I17" s="550"/>
      <c r="J17" s="550"/>
      <c r="K17" s="550"/>
      <c r="L17" s="550"/>
      <c r="M17" s="550"/>
      <c r="N17" s="550"/>
      <c r="O17" s="550"/>
      <c r="P17" s="550"/>
      <c r="Q17" s="550"/>
      <c r="R17" s="550"/>
      <c r="S17" s="550"/>
      <c r="T17" s="578"/>
      <c r="U17" s="578"/>
      <c r="V17" s="578"/>
      <c r="W17" s="578"/>
      <c r="X17" s="578"/>
      <c r="Y17" s="578"/>
      <c r="Z17" s="550"/>
      <c r="AA17" s="550"/>
      <c r="AB17" s="578"/>
      <c r="AC17" s="578"/>
      <c r="AD17" s="578"/>
      <c r="AE17" s="578"/>
      <c r="AF17" s="578"/>
      <c r="AG17" s="578"/>
      <c r="AH17" s="578"/>
      <c r="AI17" s="578"/>
      <c r="AJ17" s="578"/>
      <c r="AK17" s="578"/>
    </row>
    <row r="18" spans="1:37" s="1" customFormat="1">
      <c r="A18" s="477" t="s">
        <v>142</v>
      </c>
      <c r="B18" s="551"/>
      <c r="C18" s="551"/>
      <c r="D18" s="551"/>
      <c r="E18" s="551"/>
      <c r="F18" s="551"/>
      <c r="G18" s="399"/>
      <c r="H18" s="399"/>
      <c r="I18" s="552">
        <v>279</v>
      </c>
      <c r="J18" s="399">
        <v>-279</v>
      </c>
      <c r="K18" s="399"/>
      <c r="L18" s="446"/>
      <c r="M18" s="399"/>
      <c r="N18" s="399"/>
      <c r="O18" s="399"/>
      <c r="P18" s="399"/>
      <c r="Q18" s="399"/>
      <c r="R18" s="725"/>
      <c r="S18" s="725"/>
      <c r="T18" s="522"/>
      <c r="U18" s="522"/>
      <c r="V18" s="522"/>
      <c r="W18" s="522"/>
      <c r="X18" s="522"/>
      <c r="Y18" s="522"/>
      <c r="Z18" s="399"/>
      <c r="AA18" s="399"/>
      <c r="AB18" s="552">
        <f>I18</f>
        <v>279</v>
      </c>
      <c r="AC18" s="552">
        <f>J18</f>
        <v>-279</v>
      </c>
      <c r="AD18" s="553"/>
      <c r="AE18" s="553"/>
      <c r="AF18" s="567"/>
      <c r="AG18" s="567"/>
      <c r="AH18" s="804"/>
      <c r="AI18" s="804"/>
      <c r="AJ18" s="817"/>
      <c r="AK18" s="817"/>
    </row>
    <row r="19" spans="1:37" s="1" customFormat="1">
      <c r="A19" s="477" t="s">
        <v>143</v>
      </c>
      <c r="B19" s="551"/>
      <c r="C19" s="551"/>
      <c r="D19" s="551"/>
      <c r="E19" s="551"/>
      <c r="F19" s="551"/>
      <c r="G19" s="399"/>
      <c r="H19" s="399"/>
      <c r="I19" s="399"/>
      <c r="J19" s="399"/>
      <c r="K19" s="399"/>
      <c r="L19" s="399"/>
      <c r="M19" s="399"/>
      <c r="N19" s="399"/>
      <c r="O19" s="399"/>
      <c r="P19" s="399"/>
      <c r="Q19" s="399"/>
      <c r="R19" s="725"/>
      <c r="S19" s="725"/>
      <c r="T19" s="522"/>
      <c r="U19" s="522"/>
      <c r="V19" s="522"/>
      <c r="W19" s="522"/>
      <c r="X19" s="522"/>
      <c r="Y19" s="522"/>
      <c r="Z19" s="399"/>
      <c r="AA19" s="399"/>
      <c r="AB19" s="552"/>
      <c r="AC19" s="552"/>
      <c r="AD19" s="553"/>
      <c r="AE19" s="553"/>
      <c r="AF19" s="567"/>
      <c r="AG19" s="567"/>
      <c r="AH19" s="804"/>
      <c r="AI19" s="804"/>
      <c r="AJ19" s="816"/>
      <c r="AK19" s="816"/>
    </row>
    <row r="20" spans="1:37" s="1" customFormat="1">
      <c r="A20" s="477" t="s">
        <v>144</v>
      </c>
      <c r="B20" s="551"/>
      <c r="C20" s="551"/>
      <c r="D20" s="551"/>
      <c r="E20" s="551"/>
      <c r="F20" s="551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725"/>
      <c r="S20" s="725"/>
      <c r="T20" s="751">
        <v>13.92</v>
      </c>
      <c r="U20" s="521">
        <v>-13.92</v>
      </c>
      <c r="V20" s="519">
        <v>4</v>
      </c>
      <c r="W20" s="508">
        <v>-3.94</v>
      </c>
      <c r="X20" s="522"/>
      <c r="Y20" s="522"/>
      <c r="Z20" s="399"/>
      <c r="AA20" s="399"/>
      <c r="AB20" s="552">
        <f>V20</f>
        <v>4</v>
      </c>
      <c r="AC20" s="552">
        <f>W20</f>
        <v>-3.94</v>
      </c>
      <c r="AD20" s="553"/>
      <c r="AE20" s="553"/>
      <c r="AF20" s="567"/>
      <c r="AG20" s="567"/>
      <c r="AH20" s="804"/>
      <c r="AI20" s="804"/>
      <c r="AJ20" s="817">
        <f>T20</f>
        <v>13.92</v>
      </c>
      <c r="AK20" s="817">
        <f>U20</f>
        <v>-13.92</v>
      </c>
    </row>
    <row r="21" spans="1:37" s="1" customFormat="1">
      <c r="A21" s="477" t="s">
        <v>145</v>
      </c>
      <c r="B21" s="551"/>
      <c r="C21" s="551"/>
      <c r="D21" s="551"/>
      <c r="E21" s="551"/>
      <c r="F21" s="551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725"/>
      <c r="S21" s="725"/>
      <c r="T21" s="522"/>
      <c r="U21" s="522"/>
      <c r="V21" s="522"/>
      <c r="W21" s="522"/>
      <c r="X21" s="522"/>
      <c r="Y21" s="522"/>
      <c r="Z21" s="399"/>
      <c r="AA21" s="399"/>
      <c r="AB21" s="552"/>
      <c r="AC21" s="552"/>
      <c r="AD21" s="553"/>
      <c r="AE21" s="553"/>
      <c r="AF21" s="567"/>
      <c r="AG21" s="567"/>
      <c r="AH21" s="804"/>
      <c r="AI21" s="804"/>
      <c r="AJ21" s="816"/>
      <c r="AK21" s="816"/>
    </row>
    <row r="22" spans="1:37" s="1" customFormat="1" ht="15">
      <c r="A22" s="502" t="s">
        <v>148</v>
      </c>
      <c r="B22" s="549"/>
      <c r="C22" s="549"/>
      <c r="D22" s="549"/>
      <c r="E22" s="549"/>
      <c r="F22" s="549"/>
      <c r="G22" s="550"/>
      <c r="H22" s="550"/>
      <c r="I22" s="550"/>
      <c r="J22" s="550"/>
      <c r="K22" s="550"/>
      <c r="L22" s="550"/>
      <c r="M22" s="550"/>
      <c r="N22" s="550"/>
      <c r="O22" s="550"/>
      <c r="P22" s="550"/>
      <c r="Q22" s="550"/>
      <c r="R22" s="550"/>
      <c r="S22" s="550"/>
      <c r="T22" s="578"/>
      <c r="U22" s="578"/>
      <c r="V22" s="578"/>
      <c r="W22" s="578"/>
      <c r="X22" s="578"/>
      <c r="Y22" s="578"/>
      <c r="Z22" s="550"/>
      <c r="AA22" s="550"/>
      <c r="AB22" s="578"/>
      <c r="AC22" s="578"/>
      <c r="AD22" s="578"/>
      <c r="AE22" s="578"/>
      <c r="AF22" s="578"/>
      <c r="AG22" s="578"/>
      <c r="AH22" s="578"/>
      <c r="AI22" s="578"/>
      <c r="AJ22" s="578"/>
      <c r="AK22" s="578"/>
    </row>
    <row r="23" spans="1:37" s="1" customFormat="1">
      <c r="A23" s="477" t="s">
        <v>149</v>
      </c>
      <c r="B23" s="552">
        <v>100</v>
      </c>
      <c r="C23" s="551">
        <v>-55</v>
      </c>
      <c r="D23" s="551"/>
      <c r="E23" s="551">
        <v>-55</v>
      </c>
      <c r="F23" s="551"/>
      <c r="G23" s="399"/>
      <c r="H23" s="399"/>
      <c r="I23" s="567"/>
      <c r="J23" s="399"/>
      <c r="K23" s="399"/>
      <c r="L23" s="399"/>
      <c r="M23" s="399"/>
      <c r="N23" s="399"/>
      <c r="O23" s="399"/>
      <c r="P23" s="552">
        <v>200</v>
      </c>
      <c r="Q23" s="399"/>
      <c r="R23" s="725"/>
      <c r="S23" s="725"/>
      <c r="T23" s="521"/>
      <c r="U23" s="521"/>
      <c r="V23" s="521"/>
      <c r="W23" s="521"/>
      <c r="X23" s="521"/>
      <c r="Y23" s="521"/>
      <c r="Z23" s="399"/>
      <c r="AA23" s="399"/>
      <c r="AB23" s="552">
        <f>P23+B23</f>
        <v>300</v>
      </c>
      <c r="AC23" s="552">
        <f>Q23+E23+C23</f>
        <v>-110</v>
      </c>
      <c r="AD23" s="553"/>
      <c r="AE23" s="553"/>
      <c r="AF23" s="567"/>
      <c r="AG23" s="567"/>
      <c r="AH23" s="804"/>
      <c r="AI23" s="804"/>
      <c r="AJ23" s="816"/>
      <c r="AK23" s="816"/>
    </row>
    <row r="24" spans="1:37" s="1" customFormat="1">
      <c r="A24" s="477" t="s">
        <v>150</v>
      </c>
      <c r="B24" s="553">
        <v>13.31</v>
      </c>
      <c r="C24" s="551">
        <v>-13.31</v>
      </c>
      <c r="D24" s="551"/>
      <c r="E24" s="551"/>
      <c r="F24" s="551"/>
      <c r="G24" s="399"/>
      <c r="H24" s="399"/>
      <c r="I24" s="399"/>
      <c r="J24" s="399"/>
      <c r="K24" s="399"/>
      <c r="L24" s="399"/>
      <c r="M24" s="399"/>
      <c r="N24" s="399"/>
      <c r="O24" s="399"/>
      <c r="P24" s="399"/>
      <c r="Q24" s="399"/>
      <c r="R24" s="725"/>
      <c r="S24" s="725"/>
      <c r="T24" s="521"/>
      <c r="U24" s="521"/>
      <c r="V24" s="521"/>
      <c r="W24" s="521"/>
      <c r="X24" s="521"/>
      <c r="Y24" s="521"/>
      <c r="Z24" s="399"/>
      <c r="AA24" s="399"/>
      <c r="AB24" s="552"/>
      <c r="AC24" s="552"/>
      <c r="AD24" s="553">
        <f>B24</f>
        <v>13.31</v>
      </c>
      <c r="AE24" s="553">
        <f>C24</f>
        <v>-13.31</v>
      </c>
      <c r="AF24" s="567"/>
      <c r="AG24" s="567"/>
      <c r="AH24" s="804"/>
      <c r="AI24" s="804"/>
      <c r="AJ24" s="817"/>
      <c r="AK24" s="817"/>
    </row>
    <row r="25" spans="1:37" s="1" customFormat="1">
      <c r="A25" s="477" t="s">
        <v>265</v>
      </c>
      <c r="B25" s="552">
        <v>2151.1</v>
      </c>
      <c r="C25" s="551">
        <f>-461-25-176-330-6.35-735-119-217</f>
        <v>-2069.35</v>
      </c>
      <c r="D25" s="648"/>
      <c r="E25" s="551"/>
      <c r="F25" s="551"/>
      <c r="G25" s="399"/>
      <c r="H25" s="399"/>
      <c r="I25" s="520">
        <v>2200</v>
      </c>
      <c r="J25" s="399"/>
      <c r="K25" s="399"/>
      <c r="L25" s="399"/>
      <c r="M25" s="399"/>
      <c r="N25" s="399"/>
      <c r="O25" s="399"/>
      <c r="P25" s="552">
        <v>1000</v>
      </c>
      <c r="Q25" s="399"/>
      <c r="R25" s="725"/>
      <c r="S25" s="725"/>
      <c r="T25" s="521"/>
      <c r="U25" s="521"/>
      <c r="V25" s="521"/>
      <c r="W25" s="521"/>
      <c r="X25" s="521"/>
      <c r="Y25" s="521"/>
      <c r="Z25" s="399"/>
      <c r="AA25" s="399"/>
      <c r="AB25" s="552">
        <f>B25+P25</f>
        <v>3151.1</v>
      </c>
      <c r="AC25" s="552">
        <f>C25</f>
        <v>-2069.35</v>
      </c>
      <c r="AD25" s="553"/>
      <c r="AE25" s="553"/>
      <c r="AF25" s="567"/>
      <c r="AG25" s="567"/>
      <c r="AH25" s="804">
        <f>I25</f>
        <v>2200</v>
      </c>
      <c r="AI25" s="804"/>
      <c r="AJ25" s="816"/>
      <c r="AK25" s="816"/>
    </row>
    <row r="26" spans="1:37" s="1" customFormat="1">
      <c r="A26" s="477" t="s">
        <v>265</v>
      </c>
      <c r="B26" s="567">
        <v>778</v>
      </c>
      <c r="C26" s="551">
        <v>-778</v>
      </c>
      <c r="D26" s="648"/>
      <c r="E26" s="551"/>
      <c r="F26" s="551"/>
      <c r="G26" s="399"/>
      <c r="H26" s="399"/>
      <c r="I26" s="520"/>
      <c r="J26" s="399"/>
      <c r="K26" s="399"/>
      <c r="L26" s="399"/>
      <c r="M26" s="399"/>
      <c r="N26" s="399"/>
      <c r="O26" s="399"/>
      <c r="P26" s="552"/>
      <c r="Q26" s="399"/>
      <c r="R26" s="725"/>
      <c r="S26" s="725"/>
      <c r="T26" s="784"/>
      <c r="U26" s="521"/>
      <c r="V26" s="521"/>
      <c r="W26" s="521"/>
      <c r="X26" s="521"/>
      <c r="Y26" s="521"/>
      <c r="Z26" s="399"/>
      <c r="AA26" s="399"/>
      <c r="AB26" s="552"/>
      <c r="AC26" s="552"/>
      <c r="AD26" s="553"/>
      <c r="AE26" s="553"/>
      <c r="AF26" s="567">
        <f>B26</f>
        <v>778</v>
      </c>
      <c r="AG26" s="567">
        <f>C26</f>
        <v>-778</v>
      </c>
      <c r="AH26" s="808"/>
      <c r="AI26" s="808"/>
      <c r="AJ26" s="817"/>
      <c r="AK26" s="817"/>
    </row>
    <row r="27" spans="1:37" s="1" customFormat="1">
      <c r="A27" s="477" t="s">
        <v>152</v>
      </c>
      <c r="B27" s="551"/>
      <c r="C27" s="551"/>
      <c r="D27" s="551"/>
      <c r="E27" s="551"/>
      <c r="F27" s="551"/>
      <c r="G27" s="399"/>
      <c r="H27" s="399"/>
      <c r="I27" s="399"/>
      <c r="J27" s="399"/>
      <c r="K27" s="399"/>
      <c r="L27" s="399"/>
      <c r="M27" s="399"/>
      <c r="N27" s="399"/>
      <c r="O27" s="399"/>
      <c r="P27" s="399"/>
      <c r="Q27" s="399"/>
      <c r="R27" s="725"/>
      <c r="S27" s="725"/>
      <c r="T27" s="521"/>
      <c r="U27" s="521"/>
      <c r="V27" s="521"/>
      <c r="W27" s="521"/>
      <c r="X27" s="521"/>
      <c r="Y27" s="521"/>
      <c r="Z27" s="399"/>
      <c r="AA27" s="399"/>
      <c r="AB27" s="552"/>
      <c r="AC27" s="552"/>
      <c r="AD27" s="553"/>
      <c r="AE27" s="553"/>
      <c r="AF27" s="567"/>
      <c r="AG27" s="567"/>
      <c r="AH27" s="804"/>
      <c r="AI27" s="804"/>
      <c r="AJ27" s="816"/>
      <c r="AK27" s="816"/>
    </row>
    <row r="28" spans="1:37" s="1" customFormat="1" ht="15">
      <c r="A28" s="502" t="s">
        <v>153</v>
      </c>
      <c r="B28" s="549"/>
      <c r="C28" s="549"/>
      <c r="D28" s="549"/>
      <c r="E28" s="549"/>
      <c r="F28" s="549"/>
      <c r="G28" s="550"/>
      <c r="H28" s="550"/>
      <c r="I28" s="550"/>
      <c r="J28" s="550"/>
      <c r="K28" s="550"/>
      <c r="L28" s="550"/>
      <c r="M28" s="550"/>
      <c r="N28" s="550"/>
      <c r="O28" s="550"/>
      <c r="P28" s="550"/>
      <c r="Q28" s="550"/>
      <c r="R28" s="550"/>
      <c r="S28" s="550"/>
      <c r="T28" s="550"/>
      <c r="U28" s="550"/>
      <c r="V28" s="550"/>
      <c r="W28" s="550"/>
      <c r="X28" s="550"/>
      <c r="Y28" s="550"/>
      <c r="Z28" s="550"/>
      <c r="AA28" s="550"/>
      <c r="AB28" s="550"/>
      <c r="AC28" s="550"/>
      <c r="AD28" s="550"/>
      <c r="AE28" s="550"/>
      <c r="AF28" s="550"/>
      <c r="AG28" s="550"/>
      <c r="AH28" s="550"/>
      <c r="AI28" s="550"/>
      <c r="AJ28" s="550"/>
      <c r="AK28" s="550"/>
    </row>
    <row r="29" spans="1:37" s="1" customFormat="1">
      <c r="A29" s="477" t="s">
        <v>156</v>
      </c>
      <c r="B29" s="552">
        <v>120</v>
      </c>
      <c r="C29" s="551"/>
      <c r="D29" s="446"/>
      <c r="E29" s="551"/>
      <c r="F29" s="551"/>
      <c r="G29" s="399"/>
      <c r="H29" s="399"/>
      <c r="I29" s="399"/>
      <c r="J29" s="399"/>
      <c r="K29" s="399"/>
      <c r="L29" s="399"/>
      <c r="M29" s="399"/>
      <c r="N29" s="552"/>
      <c r="P29" s="567">
        <f>3000</f>
        <v>3000</v>
      </c>
      <c r="Q29" s="399"/>
      <c r="R29" s="725"/>
      <c r="S29" s="725"/>
      <c r="T29" s="508"/>
      <c r="U29" s="508"/>
      <c r="V29" s="519">
        <v>105</v>
      </c>
      <c r="W29" s="508">
        <f>-8-80-16</f>
        <v>-104</v>
      </c>
      <c r="X29" s="508"/>
      <c r="Y29" s="508"/>
      <c r="Z29" s="399"/>
      <c r="AA29" s="399"/>
      <c r="AB29" s="552">
        <f>B29+V29</f>
        <v>225</v>
      </c>
      <c r="AC29" s="552">
        <f>W29</f>
        <v>-104</v>
      </c>
      <c r="AD29" s="553"/>
      <c r="AE29" s="553"/>
      <c r="AF29" s="567">
        <f>P29+N29</f>
        <v>3000</v>
      </c>
      <c r="AG29" s="567">
        <f>Q29</f>
        <v>0</v>
      </c>
      <c r="AH29" s="804"/>
      <c r="AI29" s="804"/>
      <c r="AJ29" s="816"/>
      <c r="AK29" s="816"/>
    </row>
    <row r="30" spans="1:37" s="1" customFormat="1">
      <c r="A30" s="477" t="s">
        <v>156</v>
      </c>
      <c r="B30" s="552"/>
      <c r="C30" s="551"/>
      <c r="D30" s="446"/>
      <c r="E30" s="551"/>
      <c r="F30" s="551"/>
      <c r="G30" s="399"/>
      <c r="H30" s="399"/>
      <c r="I30" s="399"/>
      <c r="J30" s="399"/>
      <c r="K30" s="399"/>
      <c r="L30" s="399"/>
      <c r="M30" s="399"/>
      <c r="N30" s="749"/>
      <c r="P30" s="749">
        <f>700+450</f>
        <v>1150</v>
      </c>
      <c r="Q30" s="796"/>
      <c r="R30" s="725"/>
      <c r="S30" s="725"/>
      <c r="T30" s="508"/>
      <c r="U30" s="508"/>
      <c r="V30" s="516">
        <v>56</v>
      </c>
      <c r="W30" s="508">
        <v>-56</v>
      </c>
      <c r="X30" s="508"/>
      <c r="Y30" s="508"/>
      <c r="Z30" s="399"/>
      <c r="AA30" s="399"/>
      <c r="AB30" s="552">
        <f>P30</f>
        <v>1150</v>
      </c>
      <c r="AC30" s="552"/>
      <c r="AD30" s="553">
        <f>V30</f>
        <v>56</v>
      </c>
      <c r="AE30" s="553">
        <f>W30</f>
        <v>-56</v>
      </c>
      <c r="AF30" s="567"/>
      <c r="AG30" s="567"/>
      <c r="AH30" s="804"/>
      <c r="AI30" s="804"/>
      <c r="AJ30" s="817"/>
      <c r="AK30" s="817"/>
    </row>
    <row r="31" spans="1:37" s="1" customFormat="1">
      <c r="A31" s="477" t="s">
        <v>129</v>
      </c>
      <c r="B31" s="551"/>
      <c r="C31" s="551"/>
      <c r="D31" s="551"/>
      <c r="E31" s="551"/>
      <c r="F31" s="551"/>
      <c r="G31" s="399"/>
      <c r="H31" s="399"/>
      <c r="I31" s="399"/>
      <c r="J31" s="399"/>
      <c r="K31" s="399"/>
      <c r="L31" s="399"/>
      <c r="M31" s="399"/>
      <c r="R31" s="725"/>
      <c r="S31" s="725"/>
      <c r="T31" s="508"/>
      <c r="U31" s="508"/>
      <c r="V31" s="508"/>
      <c r="W31" s="508"/>
      <c r="X31" s="508"/>
      <c r="Y31" s="508"/>
      <c r="Z31" s="399"/>
      <c r="AA31" s="399"/>
      <c r="AB31" s="552"/>
      <c r="AC31" s="552"/>
      <c r="AD31" s="553"/>
      <c r="AE31" s="553"/>
      <c r="AF31" s="567"/>
      <c r="AG31" s="567"/>
      <c r="AH31" s="804"/>
      <c r="AI31" s="804"/>
      <c r="AJ31" s="816"/>
      <c r="AK31" s="816"/>
    </row>
    <row r="32" spans="1:37" s="1" customFormat="1">
      <c r="A32" s="477" t="s">
        <v>157</v>
      </c>
      <c r="B32" s="551"/>
      <c r="C32" s="551"/>
      <c r="D32" s="551"/>
      <c r="E32" s="551"/>
      <c r="F32" s="551"/>
      <c r="G32" s="399"/>
      <c r="H32" s="399"/>
      <c r="I32" s="399"/>
      <c r="J32" s="399"/>
      <c r="K32" s="399"/>
      <c r="L32" s="399"/>
      <c r="M32" s="399"/>
      <c r="N32" s="399"/>
      <c r="O32" s="399"/>
      <c r="P32" s="399"/>
      <c r="Q32" s="399"/>
      <c r="R32" s="725"/>
      <c r="S32" s="725"/>
      <c r="T32" s="508"/>
      <c r="U32" s="508"/>
      <c r="V32" s="508"/>
      <c r="W32" s="508"/>
      <c r="X32" s="508"/>
      <c r="Y32" s="508"/>
      <c r="Z32" s="399"/>
      <c r="AA32" s="399"/>
      <c r="AB32" s="552"/>
      <c r="AC32" s="552"/>
      <c r="AD32" s="553"/>
      <c r="AE32" s="553"/>
      <c r="AF32" s="567"/>
      <c r="AG32" s="567"/>
      <c r="AH32" s="804"/>
      <c r="AI32" s="804"/>
      <c r="AJ32" s="817"/>
      <c r="AK32" s="817"/>
    </row>
    <row r="33" spans="1:38" s="1" customFormat="1" ht="15">
      <c r="A33" s="502" t="s">
        <v>160</v>
      </c>
      <c r="B33" s="549"/>
      <c r="C33" s="549"/>
      <c r="D33" s="549"/>
      <c r="E33" s="549"/>
      <c r="F33" s="549"/>
      <c r="G33" s="550"/>
      <c r="H33" s="550"/>
      <c r="I33" s="550"/>
      <c r="J33" s="550"/>
      <c r="K33" s="550"/>
      <c r="L33" s="550"/>
      <c r="M33" s="550"/>
      <c r="N33" s="550"/>
      <c r="O33" s="550"/>
      <c r="P33" s="550"/>
      <c r="Q33" s="550"/>
      <c r="R33" s="550"/>
      <c r="S33" s="550"/>
      <c r="T33" s="578"/>
      <c r="U33" s="578"/>
      <c r="V33" s="578"/>
      <c r="W33" s="578"/>
      <c r="X33" s="578"/>
      <c r="Y33" s="578"/>
      <c r="Z33" s="550"/>
      <c r="AA33" s="550"/>
      <c r="AB33" s="550"/>
      <c r="AC33" s="550"/>
      <c r="AD33" s="550"/>
      <c r="AE33" s="550"/>
      <c r="AF33" s="644"/>
      <c r="AG33" s="644"/>
      <c r="AH33" s="644"/>
      <c r="AI33" s="644"/>
      <c r="AJ33" s="644"/>
      <c r="AK33" s="644"/>
    </row>
    <row r="34" spans="1:38" s="1" customFormat="1">
      <c r="A34" s="477" t="s">
        <v>161</v>
      </c>
      <c r="B34" s="551"/>
      <c r="C34" s="551"/>
      <c r="D34" s="551"/>
      <c r="E34" s="551"/>
      <c r="F34" s="551"/>
      <c r="G34" s="399"/>
      <c r="H34" s="399"/>
      <c r="I34" s="399"/>
      <c r="J34" s="399"/>
      <c r="K34" s="399"/>
      <c r="L34" s="399"/>
      <c r="M34" s="399"/>
      <c r="N34" s="399"/>
      <c r="O34" s="399"/>
      <c r="P34" s="399"/>
      <c r="Q34" s="399"/>
      <c r="R34" s="725"/>
      <c r="S34" s="725"/>
      <c r="T34" s="508"/>
      <c r="U34" s="508"/>
      <c r="V34" s="508"/>
      <c r="W34" s="508"/>
      <c r="X34" s="508"/>
      <c r="Y34" s="508"/>
      <c r="Z34" s="399"/>
      <c r="AA34" s="399"/>
      <c r="AB34" s="552"/>
      <c r="AC34" s="552"/>
      <c r="AD34" s="553"/>
      <c r="AE34" s="553"/>
      <c r="AF34" s="567"/>
      <c r="AG34" s="567"/>
      <c r="AH34" s="804"/>
      <c r="AI34" s="804"/>
      <c r="AJ34" s="817"/>
      <c r="AK34" s="817"/>
    </row>
    <row r="35" spans="1:38" s="1" customFormat="1">
      <c r="A35" s="477" t="s">
        <v>162</v>
      </c>
      <c r="B35" s="551"/>
      <c r="C35" s="551"/>
      <c r="D35" s="551"/>
      <c r="E35" s="551"/>
      <c r="F35" s="551"/>
      <c r="G35" s="399"/>
      <c r="H35" s="399"/>
      <c r="I35" s="399"/>
      <c r="J35" s="399"/>
      <c r="K35" s="399"/>
      <c r="L35" s="399"/>
      <c r="M35" s="399"/>
      <c r="N35" s="399"/>
      <c r="O35" s="399"/>
      <c r="P35" s="399"/>
      <c r="Q35" s="399"/>
      <c r="R35" s="725"/>
      <c r="S35" s="725"/>
      <c r="T35" s="508"/>
      <c r="U35" s="508"/>
      <c r="V35" s="508"/>
      <c r="W35" s="508"/>
      <c r="X35" s="669">
        <v>1399</v>
      </c>
      <c r="Y35" s="508">
        <v>-1399</v>
      </c>
      <c r="Z35" s="399"/>
      <c r="AA35" s="399"/>
      <c r="AB35" s="552"/>
      <c r="AC35" s="552"/>
      <c r="AD35" s="553"/>
      <c r="AE35" s="553"/>
      <c r="AF35" s="567">
        <f>X35</f>
        <v>1399</v>
      </c>
      <c r="AG35" s="567">
        <f>Y35</f>
        <v>-1399</v>
      </c>
      <c r="AH35" s="804"/>
      <c r="AI35" s="804"/>
      <c r="AJ35" s="816"/>
      <c r="AK35" s="816"/>
    </row>
    <row r="36" spans="1:38" s="1" customFormat="1">
      <c r="A36" s="477" t="s">
        <v>163</v>
      </c>
      <c r="B36" s="551"/>
      <c r="C36" s="551"/>
      <c r="D36" s="551"/>
      <c r="E36" s="551"/>
      <c r="F36" s="551"/>
      <c r="G36" s="399"/>
      <c r="H36" s="399"/>
      <c r="I36" s="399"/>
      <c r="J36" s="399"/>
      <c r="K36" s="399"/>
      <c r="L36" s="399"/>
      <c r="M36" s="399"/>
      <c r="N36" s="399"/>
      <c r="O36" s="399"/>
      <c r="P36" s="399"/>
      <c r="Q36" s="399"/>
      <c r="R36" s="725"/>
      <c r="S36" s="725"/>
      <c r="T36" s="508"/>
      <c r="U36" s="508"/>
      <c r="V36" s="508"/>
      <c r="W36" s="508"/>
      <c r="X36" s="508"/>
      <c r="Y36" s="508"/>
      <c r="Z36" s="399"/>
      <c r="AA36" s="399"/>
      <c r="AB36" s="552"/>
      <c r="AC36" s="552"/>
      <c r="AD36" s="553"/>
      <c r="AE36" s="553"/>
      <c r="AF36" s="567"/>
      <c r="AG36" s="567"/>
      <c r="AH36" s="804"/>
      <c r="AI36" s="804"/>
      <c r="AJ36" s="817"/>
      <c r="AK36" s="817"/>
    </row>
    <row r="37" spans="1:38" s="1" customFormat="1">
      <c r="A37" s="477" t="s">
        <v>164</v>
      </c>
      <c r="B37" s="551"/>
      <c r="C37" s="551"/>
      <c r="D37" s="551"/>
      <c r="E37" s="551"/>
      <c r="F37" s="551"/>
      <c r="G37" s="399"/>
      <c r="H37" s="399"/>
      <c r="I37" s="399"/>
      <c r="J37" s="399"/>
      <c r="K37" s="399"/>
      <c r="L37" s="399"/>
      <c r="M37" s="399"/>
      <c r="N37" s="399"/>
      <c r="O37" s="399"/>
      <c r="P37" s="399"/>
      <c r="Q37" s="399"/>
      <c r="R37" s="802"/>
      <c r="S37" s="725"/>
      <c r="T37" s="508"/>
      <c r="U37" s="508"/>
      <c r="V37" s="508"/>
      <c r="W37" s="508"/>
      <c r="X37" s="669">
        <v>500</v>
      </c>
      <c r="Y37" s="521">
        <f>-14.98-100-125-100</f>
        <v>-339.98</v>
      </c>
      <c r="Z37" s="552">
        <v>150</v>
      </c>
      <c r="AA37" s="399">
        <v>-150</v>
      </c>
      <c r="AB37" s="552">
        <f>Z37</f>
        <v>150</v>
      </c>
      <c r="AC37" s="552">
        <f>AA37</f>
        <v>-150</v>
      </c>
      <c r="AD37" s="553"/>
      <c r="AE37" s="553"/>
      <c r="AF37" s="567">
        <f>X37</f>
        <v>500</v>
      </c>
      <c r="AG37" s="567">
        <f>Y37</f>
        <v>-339.98</v>
      </c>
      <c r="AH37" s="804"/>
      <c r="AI37" s="804"/>
      <c r="AJ37" s="816"/>
      <c r="AK37" s="816"/>
    </row>
    <row r="38" spans="1:38" s="1" customFormat="1">
      <c r="A38" s="477" t="s">
        <v>165</v>
      </c>
      <c r="B38" s="551"/>
      <c r="C38" s="551"/>
      <c r="D38" s="551"/>
      <c r="E38" s="551"/>
      <c r="F38" s="551"/>
      <c r="G38" s="399"/>
      <c r="H38" s="399"/>
      <c r="I38" s="399"/>
      <c r="J38" s="399"/>
      <c r="K38" s="399"/>
      <c r="L38" s="399"/>
      <c r="M38" s="706"/>
      <c r="N38" s="399"/>
      <c r="O38" s="399"/>
      <c r="P38" s="399"/>
      <c r="Q38" s="399"/>
      <c r="R38" s="725"/>
      <c r="S38" s="725"/>
      <c r="T38" s="751">
        <v>369</v>
      </c>
      <c r="U38" s="521">
        <f>-281-80-8</f>
        <v>-369</v>
      </c>
      <c r="V38" s="521"/>
      <c r="W38" s="521"/>
      <c r="X38" s="521"/>
      <c r="Y38" s="521"/>
      <c r="Z38" s="399"/>
      <c r="AA38" s="399"/>
      <c r="AB38" s="552"/>
      <c r="AC38" s="552"/>
      <c r="AD38" s="553"/>
      <c r="AE38" s="553"/>
      <c r="AF38" s="567"/>
      <c r="AG38" s="567"/>
      <c r="AH38" s="804"/>
      <c r="AI38" s="804"/>
      <c r="AJ38" s="817">
        <f>T38</f>
        <v>369</v>
      </c>
      <c r="AK38" s="817">
        <f>U38</f>
        <v>-369</v>
      </c>
    </row>
    <row r="39" spans="1:38" s="1" customFormat="1" ht="15">
      <c r="A39" s="502" t="str">
        <f>'AVP  Health'!A46</f>
        <v>Other Expense</v>
      </c>
      <c r="B39" s="549"/>
      <c r="C39" s="549"/>
      <c r="D39" s="549"/>
      <c r="E39" s="549"/>
      <c r="F39" s="549"/>
      <c r="G39" s="550"/>
      <c r="H39" s="550"/>
      <c r="I39" s="550"/>
      <c r="J39" s="550"/>
      <c r="K39" s="550"/>
      <c r="L39" s="550"/>
      <c r="M39" s="550"/>
      <c r="N39" s="550"/>
      <c r="O39" s="550"/>
      <c r="P39" s="550"/>
      <c r="Q39" s="550"/>
      <c r="R39" s="550"/>
      <c r="S39" s="550"/>
      <c r="T39" s="550"/>
      <c r="U39" s="550"/>
      <c r="V39" s="550"/>
      <c r="W39" s="550"/>
      <c r="X39" s="550"/>
      <c r="Y39" s="550"/>
      <c r="Z39" s="550"/>
      <c r="AA39" s="550"/>
      <c r="AB39" s="550"/>
      <c r="AC39" s="550"/>
      <c r="AD39" s="550"/>
      <c r="AE39" s="550"/>
      <c r="AF39" s="644"/>
      <c r="AG39" s="644"/>
      <c r="AH39" s="644"/>
      <c r="AI39" s="644"/>
      <c r="AJ39" s="644"/>
      <c r="AK39" s="550"/>
      <c r="AL39" s="870"/>
    </row>
    <row r="40" spans="1:38" s="1" customFormat="1" ht="15">
      <c r="A40" s="491" t="s">
        <v>221</v>
      </c>
      <c r="B40" s="552">
        <v>1700</v>
      </c>
      <c r="C40" s="551">
        <f>-13.76-74.9-64.9-81.35-74.98+74.98+9.37-6.8-217-226-1-48.98-9.94-236-127-8.94-279-62.94-4.59-54-5.35-9.52-15+28-68.87-8.5</f>
        <v>-1586.9699999999998</v>
      </c>
      <c r="D40" s="615"/>
      <c r="E40" s="615"/>
      <c r="F40" s="646"/>
      <c r="G40" s="615"/>
      <c r="H40" s="615"/>
      <c r="I40" s="615"/>
      <c r="J40" s="615"/>
      <c r="K40" s="615"/>
      <c r="L40" s="615"/>
      <c r="M40" s="615"/>
      <c r="N40" s="615"/>
      <c r="O40" s="615"/>
      <c r="T40" s="521"/>
      <c r="U40" s="521"/>
      <c r="V40" s="521"/>
      <c r="W40" s="521"/>
      <c r="X40" s="521"/>
      <c r="Y40" s="521"/>
      <c r="Z40" s="615"/>
      <c r="AA40" s="615"/>
      <c r="AB40" s="552">
        <f>B40</f>
        <v>1700</v>
      </c>
      <c r="AC40" s="552">
        <f>C40</f>
        <v>-1586.9699999999998</v>
      </c>
      <c r="AD40" s="553"/>
      <c r="AE40" s="553"/>
      <c r="AF40" s="567"/>
      <c r="AG40" s="567"/>
      <c r="AH40" s="804"/>
      <c r="AI40" s="804"/>
      <c r="AJ40" s="817"/>
      <c r="AK40" s="817"/>
    </row>
    <row r="41" spans="1:38" s="1" customFormat="1" ht="15">
      <c r="A41" s="491" t="s">
        <v>221</v>
      </c>
      <c r="B41" s="553">
        <v>1805</v>
      </c>
      <c r="C41" s="551">
        <f>-74.99-1132.5-96.54-59.98-57.98-26.85-74.34-40.68-23.56-15.98+15-67.41-67.07-77.98-4</f>
        <v>-1804.86</v>
      </c>
      <c r="D41" s="615"/>
      <c r="E41" s="615"/>
      <c r="F41" s="646"/>
      <c r="G41" s="615"/>
      <c r="H41" s="615"/>
      <c r="I41" s="615"/>
      <c r="J41" s="615"/>
      <c r="K41" s="615"/>
      <c r="L41" s="615"/>
      <c r="M41" s="615"/>
      <c r="N41" s="615"/>
      <c r="O41" s="615"/>
      <c r="P41" s="840"/>
      <c r="Q41" s="399"/>
      <c r="R41" s="834"/>
      <c r="S41" s="834"/>
      <c r="T41" s="521"/>
      <c r="U41" s="521"/>
      <c r="V41" s="521"/>
      <c r="W41" s="521"/>
      <c r="X41" s="521"/>
      <c r="Y41" s="521"/>
      <c r="Z41" s="615"/>
      <c r="AA41" s="615"/>
      <c r="AB41" s="552"/>
      <c r="AC41" s="552"/>
      <c r="AD41" s="553">
        <f>B41</f>
        <v>1805</v>
      </c>
      <c r="AE41" s="553">
        <f>C41</f>
        <v>-1804.86</v>
      </c>
      <c r="AF41" s="567"/>
      <c r="AG41" s="567"/>
      <c r="AH41" s="804"/>
      <c r="AI41" s="804"/>
      <c r="AJ41" s="816"/>
      <c r="AK41" s="816"/>
    </row>
    <row r="42" spans="1:38" s="1" customFormat="1">
      <c r="A42" s="491" t="s">
        <v>221</v>
      </c>
      <c r="B42" s="567">
        <f>4615-778</f>
        <v>3837</v>
      </c>
      <c r="C42" s="551">
        <f>-49.96-317.2</f>
        <v>-367.15999999999997</v>
      </c>
      <c r="D42" s="551"/>
      <c r="E42" s="468"/>
      <c r="F42" s="705"/>
      <c r="G42" s="399"/>
      <c r="H42" s="399"/>
      <c r="I42" s="399"/>
      <c r="J42" s="399"/>
      <c r="K42" s="399"/>
      <c r="L42" s="399"/>
      <c r="M42" s="399"/>
      <c r="N42" s="399"/>
      <c r="O42" s="399"/>
      <c r="P42" s="567">
        <f>15000+1000+1500+2000+1500</f>
        <v>21000</v>
      </c>
      <c r="Q42" s="399"/>
      <c r="R42" s="669">
        <f>160300+46800</f>
        <v>207100</v>
      </c>
      <c r="S42" s="522">
        <f>-7500-1000-2500-10000-2500-15000-5000-5500-2000-15000-10000-5000-5000</f>
        <v>-86000</v>
      </c>
      <c r="T42" s="521"/>
      <c r="U42" s="521"/>
      <c r="V42" s="521"/>
      <c r="W42" s="521"/>
      <c r="X42" s="723"/>
      <c r="Y42" s="521"/>
      <c r="Z42" s="399"/>
      <c r="AA42" s="399"/>
      <c r="AB42" s="552"/>
      <c r="AC42" s="552"/>
      <c r="AD42" s="553"/>
      <c r="AE42" s="553"/>
      <c r="AF42" s="567">
        <f>B42+P42+R42</f>
        <v>231937</v>
      </c>
      <c r="AG42" s="567">
        <f>C42+Q42+S42</f>
        <v>-86367.16</v>
      </c>
      <c r="AH42" s="804"/>
      <c r="AI42" s="804"/>
      <c r="AJ42" s="817"/>
      <c r="AK42" s="817"/>
    </row>
    <row r="43" spans="1:38" s="1" customFormat="1">
      <c r="A43" s="477" t="s">
        <v>171</v>
      </c>
      <c r="B43" s="492"/>
      <c r="C43" s="551"/>
      <c r="D43" s="446"/>
      <c r="E43" s="551"/>
      <c r="F43" s="551"/>
      <c r="G43" s="399"/>
      <c r="H43" s="399"/>
      <c r="I43" s="399"/>
      <c r="J43" s="399"/>
      <c r="K43" s="399"/>
      <c r="L43" s="399"/>
      <c r="M43" s="399"/>
      <c r="N43" s="399"/>
      <c r="O43" s="399"/>
      <c r="P43" s="399"/>
      <c r="Q43" s="399"/>
      <c r="R43" s="725"/>
      <c r="S43" s="725"/>
      <c r="T43" s="399"/>
      <c r="U43" s="399"/>
      <c r="V43" s="399"/>
      <c r="W43" s="399"/>
      <c r="X43" s="399"/>
      <c r="Y43" s="399"/>
      <c r="Z43" s="399"/>
      <c r="AA43" s="399"/>
      <c r="AB43" s="552"/>
      <c r="AC43" s="552"/>
      <c r="AD43" s="553"/>
      <c r="AE43" s="553"/>
      <c r="AF43" s="567"/>
      <c r="AG43" s="567"/>
      <c r="AH43" s="804"/>
      <c r="AI43" s="804"/>
      <c r="AJ43" s="816"/>
      <c r="AK43" s="816"/>
    </row>
    <row r="44" spans="1:38" s="1" customFormat="1">
      <c r="A44" s="493" t="s">
        <v>28</v>
      </c>
      <c r="B44" s="551">
        <f>SUM(B5:B43)</f>
        <v>10504.41</v>
      </c>
      <c r="C44" s="551">
        <f t="shared" ref="C44:D44" si="2">SUM(C5:C43)</f>
        <v>-6674.6499999999987</v>
      </c>
      <c r="D44" s="551">
        <f t="shared" si="2"/>
        <v>0</v>
      </c>
      <c r="E44" s="551">
        <f>SUM(E3:E43)</f>
        <v>-55</v>
      </c>
      <c r="F44" s="551">
        <f t="shared" ref="F44:AJ44" si="3">SUM(F3:F43)</f>
        <v>0</v>
      </c>
      <c r="G44" s="551">
        <f t="shared" si="3"/>
        <v>0</v>
      </c>
      <c r="H44" s="551">
        <f t="shared" si="3"/>
        <v>0</v>
      </c>
      <c r="I44" s="551">
        <f t="shared" si="3"/>
        <v>2479</v>
      </c>
      <c r="J44" s="551">
        <f t="shared" si="3"/>
        <v>-279</v>
      </c>
      <c r="K44" s="551">
        <f t="shared" si="3"/>
        <v>0</v>
      </c>
      <c r="L44" s="551">
        <f t="shared" si="3"/>
        <v>0</v>
      </c>
      <c r="M44" s="551">
        <f t="shared" si="3"/>
        <v>0</v>
      </c>
      <c r="N44" s="551">
        <f t="shared" si="3"/>
        <v>0</v>
      </c>
      <c r="O44" s="551">
        <f t="shared" si="3"/>
        <v>0</v>
      </c>
      <c r="P44" s="551">
        <f t="shared" si="3"/>
        <v>27550</v>
      </c>
      <c r="Q44" s="551">
        <f t="shared" si="3"/>
        <v>0</v>
      </c>
      <c r="R44" s="551">
        <f t="shared" si="3"/>
        <v>207100</v>
      </c>
      <c r="S44" s="551">
        <f t="shared" si="3"/>
        <v>-86000</v>
      </c>
      <c r="T44" s="551">
        <f t="shared" si="3"/>
        <v>0</v>
      </c>
      <c r="U44" s="551">
        <f t="shared" si="3"/>
        <v>0</v>
      </c>
      <c r="V44" s="551">
        <f>SUM(V3:V43)</f>
        <v>1054.18</v>
      </c>
      <c r="W44" s="551">
        <f t="shared" si="3"/>
        <v>-419.85</v>
      </c>
      <c r="X44" s="551">
        <f t="shared" si="3"/>
        <v>5509</v>
      </c>
      <c r="Y44" s="551">
        <f t="shared" si="3"/>
        <v>-3107.15</v>
      </c>
      <c r="Z44" s="551">
        <f t="shared" si="3"/>
        <v>1000</v>
      </c>
      <c r="AA44" s="551">
        <f t="shared" si="3"/>
        <v>-359.01</v>
      </c>
      <c r="AB44" s="551">
        <f t="shared" si="3"/>
        <v>9659.1</v>
      </c>
      <c r="AC44" s="551">
        <f t="shared" si="3"/>
        <v>-4531.67</v>
      </c>
      <c r="AD44" s="551">
        <f t="shared" si="3"/>
        <v>2053.4899999999998</v>
      </c>
      <c r="AE44" s="551">
        <f t="shared" si="3"/>
        <v>-2051.4</v>
      </c>
      <c r="AF44" s="551">
        <f t="shared" si="3"/>
        <v>241284</v>
      </c>
      <c r="AG44" s="551">
        <f t="shared" si="3"/>
        <v>-90311.59</v>
      </c>
      <c r="AH44" s="551">
        <f t="shared" si="3"/>
        <v>2200</v>
      </c>
      <c r="AI44" s="551">
        <f t="shared" si="3"/>
        <v>0</v>
      </c>
      <c r="AJ44" s="551">
        <f t="shared" si="3"/>
        <v>0</v>
      </c>
      <c r="AK44" s="551">
        <f>SUM(AK3:AK43)</f>
        <v>0</v>
      </c>
    </row>
    <row r="45" spans="1:38" s="1" customFormat="1">
      <c r="A45" s="458"/>
      <c r="B45" s="554"/>
      <c r="C45" s="554"/>
      <c r="D45" s="554"/>
      <c r="E45" s="554"/>
      <c r="F45" s="554"/>
      <c r="G45" s="555"/>
      <c r="H45" s="555"/>
      <c r="I45" s="555"/>
      <c r="J45" s="555"/>
      <c r="K45" s="555"/>
      <c r="L45" s="555"/>
      <c r="M45" s="555"/>
      <c r="N45" s="555"/>
      <c r="O45" s="555"/>
      <c r="P45" s="556"/>
      <c r="Q45" s="556"/>
      <c r="R45" s="555"/>
      <c r="S45" s="826"/>
      <c r="T45" s="828"/>
      <c r="U45" s="828"/>
      <c r="V45" s="828"/>
      <c r="W45" s="828"/>
      <c r="X45" s="828"/>
      <c r="Y45" s="828"/>
      <c r="Z45" s="828"/>
      <c r="AA45" s="828"/>
      <c r="AD45" s="471"/>
      <c r="AE45" s="471"/>
      <c r="AF45" s="446"/>
    </row>
    <row r="46" spans="1:38" s="1" customFormat="1">
      <c r="A46" s="459"/>
      <c r="B46" s="470"/>
      <c r="C46" s="470"/>
      <c r="D46" s="470"/>
      <c r="E46" s="470"/>
      <c r="F46" s="470"/>
      <c r="G46" s="471"/>
      <c r="H46" s="471"/>
      <c r="I46" s="471"/>
      <c r="J46" s="471"/>
      <c r="K46" s="471"/>
      <c r="L46" s="471"/>
      <c r="M46" s="471"/>
      <c r="N46" s="471"/>
      <c r="O46" s="471"/>
      <c r="P46" s="351"/>
      <c r="Q46" s="351"/>
      <c r="R46" s="471"/>
      <c r="S46" s="471"/>
      <c r="T46" s="827"/>
      <c r="U46" s="828"/>
      <c r="V46" s="828"/>
      <c r="W46" s="828"/>
      <c r="X46" s="828"/>
      <c r="Y46" s="828"/>
      <c r="Z46" s="828"/>
      <c r="AA46" s="828"/>
      <c r="AD46" s="471"/>
      <c r="AE46" s="471"/>
      <c r="AF46" s="446"/>
    </row>
    <row r="47" spans="1:38" s="1" customFormat="1">
      <c r="A47" s="460"/>
      <c r="B47" s="470"/>
      <c r="C47" s="470"/>
      <c r="D47" s="470"/>
      <c r="E47" s="470"/>
      <c r="F47" s="470"/>
      <c r="G47" s="471"/>
      <c r="H47" s="471"/>
      <c r="I47" s="471"/>
      <c r="J47" s="471"/>
      <c r="K47" s="471"/>
      <c r="L47" s="471"/>
      <c r="M47" s="471"/>
      <c r="N47" s="471"/>
      <c r="O47" s="471"/>
      <c r="P47" s="351"/>
      <c r="Q47" s="351"/>
      <c r="R47" s="471"/>
      <c r="S47" s="471"/>
      <c r="T47" s="828"/>
      <c r="U47" s="828"/>
      <c r="V47" s="828"/>
      <c r="W47" s="828"/>
      <c r="X47" s="828"/>
      <c r="Y47" s="828"/>
      <c r="Z47" s="828"/>
      <c r="AA47" s="828"/>
      <c r="AD47" s="471"/>
      <c r="AE47" s="471"/>
      <c r="AF47" s="446"/>
    </row>
    <row r="48" spans="1:38">
      <c r="E48" s="470"/>
      <c r="F48" s="470"/>
      <c r="G48" s="470"/>
      <c r="H48" s="470"/>
      <c r="I48" s="470"/>
      <c r="J48" s="470"/>
      <c r="K48" s="470"/>
      <c r="L48" s="470"/>
      <c r="M48" s="470"/>
      <c r="N48" s="470"/>
      <c r="O48" s="470"/>
      <c r="P48" s="517"/>
      <c r="Q48" s="517"/>
      <c r="R48" s="470"/>
      <c r="S48" s="470"/>
      <c r="T48" s="828"/>
      <c r="U48" s="828"/>
      <c r="V48" s="828"/>
      <c r="W48" s="828"/>
      <c r="X48" s="828"/>
      <c r="Y48" s="828"/>
      <c r="Z48" s="828"/>
      <c r="AA48" s="828"/>
      <c r="AB48" s="346"/>
      <c r="AC48" s="346"/>
      <c r="AD48" s="470"/>
      <c r="AE48" s="470"/>
      <c r="AF48" s="545"/>
    </row>
    <row r="49" spans="1:32">
      <c r="E49" s="470"/>
      <c r="F49" s="470"/>
      <c r="G49" s="470"/>
      <c r="H49" s="470"/>
      <c r="I49" s="470"/>
      <c r="J49" s="470"/>
      <c r="K49" s="470"/>
      <c r="L49" s="470"/>
      <c r="M49" s="470"/>
      <c r="N49" s="470"/>
      <c r="O49" s="470"/>
      <c r="P49" s="517"/>
      <c r="Q49" s="517"/>
      <c r="R49" s="470"/>
      <c r="S49" s="470"/>
      <c r="T49" s="828"/>
      <c r="U49" s="828"/>
      <c r="V49" s="828"/>
      <c r="W49" s="828"/>
      <c r="X49" s="828"/>
      <c r="Y49" s="828"/>
      <c r="Z49" s="830"/>
      <c r="AA49" s="830"/>
      <c r="AB49" s="346"/>
      <c r="AC49" s="346"/>
      <c r="AD49" s="470"/>
      <c r="AE49" s="470"/>
      <c r="AF49" s="470"/>
    </row>
    <row r="50" spans="1:32">
      <c r="E50" s="470"/>
      <c r="F50" s="470"/>
      <c r="G50" s="470"/>
      <c r="H50" s="470"/>
      <c r="I50" s="470"/>
      <c r="J50" s="470"/>
      <c r="K50" s="470"/>
      <c r="L50" s="470"/>
      <c r="M50" s="470"/>
      <c r="N50" s="470"/>
      <c r="O50" s="470"/>
      <c r="P50" s="517"/>
      <c r="Q50" s="517"/>
      <c r="R50" s="470"/>
      <c r="S50" s="470"/>
      <c r="T50" s="828"/>
      <c r="U50" s="828"/>
      <c r="V50" s="828"/>
      <c r="W50" s="828"/>
      <c r="X50" s="828"/>
      <c r="Y50" s="828"/>
      <c r="Z50" s="828"/>
      <c r="AA50" s="828"/>
      <c r="AB50" s="346"/>
      <c r="AC50" s="346"/>
      <c r="AD50" s="470"/>
      <c r="AE50" s="470"/>
      <c r="AF50" s="545"/>
    </row>
    <row r="51" spans="1:32">
      <c r="A51" s="459"/>
      <c r="B51" s="471"/>
      <c r="C51" s="471"/>
      <c r="D51" s="471"/>
      <c r="E51" s="471"/>
      <c r="F51" s="471"/>
      <c r="G51" s="470"/>
      <c r="H51" s="470"/>
      <c r="I51" s="470"/>
      <c r="J51" s="470"/>
      <c r="K51" s="470"/>
      <c r="L51" s="470"/>
      <c r="M51" s="470"/>
      <c r="N51" s="470"/>
      <c r="O51" s="470"/>
      <c r="P51" s="351"/>
      <c r="Q51" s="351"/>
      <c r="R51" s="471"/>
      <c r="S51" s="471"/>
      <c r="T51" s="828"/>
      <c r="U51" s="828"/>
      <c r="V51" s="828"/>
      <c r="W51" s="828"/>
      <c r="X51" s="828"/>
      <c r="Y51" s="828"/>
      <c r="Z51" s="828"/>
      <c r="AA51" s="828"/>
      <c r="AB51" s="346"/>
      <c r="AC51" s="346"/>
      <c r="AD51" s="470"/>
      <c r="AE51" s="470"/>
      <c r="AF51" s="545"/>
    </row>
    <row r="52" spans="1:32">
      <c r="E52" s="470"/>
      <c r="F52" s="470"/>
      <c r="G52" s="470"/>
      <c r="H52" s="470"/>
      <c r="I52" s="470"/>
      <c r="J52" s="470"/>
      <c r="K52" s="470"/>
      <c r="L52" s="470"/>
      <c r="M52" s="470"/>
      <c r="N52" s="470"/>
      <c r="O52" s="470"/>
      <c r="P52" s="787">
        <f>R44+P44+I44+G44++B44+N44+T44+V44+X44+Z44</f>
        <v>255196.59</v>
      </c>
      <c r="Q52" s="787">
        <f>S44+Q44+M44+H44+E44+O44+J44+C44+L44+K44+U44+W44+Y44+AA44</f>
        <v>-96894.659999999989</v>
      </c>
      <c r="R52" s="471"/>
      <c r="S52" s="471"/>
      <c r="T52" s="828"/>
      <c r="U52" s="828"/>
      <c r="V52" s="828"/>
      <c r="W52" s="828"/>
      <c r="X52" s="828"/>
      <c r="Y52" s="828"/>
      <c r="Z52" s="828"/>
      <c r="AA52" s="828"/>
      <c r="AB52" s="470"/>
      <c r="AC52" s="470" t="s">
        <v>352</v>
      </c>
      <c r="AD52" s="470"/>
      <c r="AE52" s="470"/>
      <c r="AF52" s="545"/>
    </row>
    <row r="53" spans="1:32">
      <c r="E53" s="470"/>
      <c r="F53" s="470"/>
      <c r="G53" s="470"/>
      <c r="H53" s="470"/>
      <c r="I53" s="470"/>
      <c r="J53" s="470"/>
      <c r="K53" s="470"/>
      <c r="L53" s="470"/>
      <c r="M53" s="470"/>
      <c r="N53" s="470"/>
      <c r="O53" s="470"/>
      <c r="P53" s="470">
        <f>AB44+AD44+AF44+AH44+AJ44</f>
        <v>255196.59</v>
      </c>
      <c r="Q53" s="470">
        <f>AC44+AE44+AG44+AI44+AK44</f>
        <v>-96894.66</v>
      </c>
      <c r="R53" s="470"/>
      <c r="S53" s="470"/>
      <c r="T53" s="828"/>
      <c r="U53" s="828"/>
      <c r="V53" s="828"/>
      <c r="W53" s="828"/>
      <c r="X53" s="828"/>
      <c r="Y53" s="828"/>
      <c r="Z53" s="828"/>
      <c r="AA53" s="828"/>
      <c r="AB53" s="470"/>
      <c r="AC53" s="470"/>
      <c r="AD53" s="470"/>
      <c r="AE53" s="470"/>
      <c r="AF53" s="545"/>
    </row>
    <row r="54" spans="1:32">
      <c r="E54" s="470"/>
      <c r="F54" s="470"/>
      <c r="G54" s="470"/>
      <c r="H54" s="470"/>
      <c r="I54" s="470"/>
      <c r="J54" s="470"/>
      <c r="K54" s="470"/>
      <c r="L54" s="470"/>
      <c r="M54" s="470"/>
      <c r="N54" s="470"/>
      <c r="O54" s="470"/>
      <c r="P54" s="470"/>
      <c r="Q54" s="470"/>
      <c r="R54" s="470"/>
      <c r="S54" s="470"/>
      <c r="T54" s="828"/>
      <c r="U54" s="828"/>
      <c r="V54" s="828"/>
      <c r="W54" s="828"/>
      <c r="X54" s="828"/>
      <c r="Y54" s="828"/>
      <c r="Z54" s="828"/>
      <c r="AA54" s="828"/>
      <c r="AB54" s="470"/>
      <c r="AC54" s="470"/>
      <c r="AD54" s="470"/>
      <c r="AE54" s="470"/>
      <c r="AF54" s="545"/>
    </row>
    <row r="55" spans="1:32">
      <c r="E55" s="470"/>
      <c r="F55" s="470"/>
      <c r="G55" s="470"/>
      <c r="H55" s="470"/>
      <c r="I55" s="470"/>
      <c r="J55" s="470"/>
      <c r="K55" s="470"/>
      <c r="L55" s="470"/>
      <c r="M55" s="470"/>
      <c r="N55" s="470"/>
      <c r="O55" s="470"/>
      <c r="P55" s="470">
        <f>P52-P53</f>
        <v>0</v>
      </c>
      <c r="Q55" s="470">
        <f>Q52-Q53</f>
        <v>0</v>
      </c>
      <c r="R55" s="470"/>
      <c r="S55" s="470"/>
      <c r="T55" s="829"/>
      <c r="U55" s="829"/>
      <c r="V55" s="829"/>
      <c r="W55" s="829"/>
      <c r="X55" s="829"/>
      <c r="Y55" s="829"/>
      <c r="Z55" s="829"/>
      <c r="AA55" s="829"/>
      <c r="AB55" s="470"/>
      <c r="AC55" s="470"/>
      <c r="AD55" s="470"/>
      <c r="AE55" s="470"/>
      <c r="AF55" s="545"/>
    </row>
    <row r="56" spans="1:32">
      <c r="E56" s="470"/>
      <c r="F56" s="470"/>
      <c r="G56" s="470"/>
      <c r="H56" s="470"/>
      <c r="I56" s="470"/>
      <c r="J56" s="470"/>
      <c r="K56" s="470"/>
      <c r="L56" s="470"/>
      <c r="M56" s="470"/>
      <c r="N56" s="470"/>
      <c r="O56" s="470"/>
      <c r="P56" s="470"/>
      <c r="Q56" s="470"/>
      <c r="R56" s="470"/>
      <c r="S56" s="470"/>
      <c r="T56" s="831"/>
      <c r="U56" s="828"/>
      <c r="V56" s="828"/>
      <c r="W56" s="828"/>
      <c r="X56" s="828"/>
      <c r="Y56" s="828"/>
      <c r="Z56" s="828"/>
      <c r="AA56" s="828"/>
      <c r="AB56" s="470"/>
      <c r="AC56" s="470"/>
      <c r="AD56" s="470"/>
      <c r="AE56" s="470"/>
      <c r="AF56" s="545"/>
    </row>
    <row r="57" spans="1:32">
      <c r="E57" s="470"/>
      <c r="F57" s="470"/>
      <c r="G57" s="470"/>
      <c r="H57" s="470"/>
      <c r="I57" s="470"/>
      <c r="J57" s="470"/>
      <c r="K57" s="470"/>
      <c r="L57" s="470"/>
      <c r="M57" s="470"/>
      <c r="N57" s="470"/>
      <c r="O57" s="470"/>
      <c r="P57" s="470"/>
      <c r="Q57" s="470"/>
      <c r="R57" s="470"/>
      <c r="S57" s="470"/>
      <c r="T57" s="828"/>
      <c r="U57" s="828"/>
      <c r="V57" s="828"/>
      <c r="W57" s="828"/>
      <c r="X57" s="828"/>
      <c r="Y57" s="828"/>
      <c r="Z57" s="828"/>
      <c r="AA57" s="828"/>
      <c r="AB57" s="470"/>
      <c r="AC57" s="470"/>
      <c r="AD57" s="470"/>
      <c r="AE57" s="470"/>
      <c r="AF57" s="545"/>
    </row>
    <row r="58" spans="1:32">
      <c r="E58" s="470"/>
      <c r="F58" s="470"/>
      <c r="G58" s="470"/>
      <c r="H58" s="470"/>
      <c r="I58" s="470"/>
      <c r="J58" s="470"/>
      <c r="K58" s="470"/>
      <c r="L58" s="470"/>
      <c r="M58" s="470"/>
      <c r="N58" s="470"/>
      <c r="O58" s="470"/>
      <c r="P58" s="470"/>
      <c r="Q58" s="470"/>
      <c r="R58" s="470"/>
      <c r="S58" s="470"/>
      <c r="T58" s="828"/>
      <c r="U58" s="828"/>
      <c r="V58" s="828"/>
      <c r="W58" s="828"/>
      <c r="X58" s="828"/>
      <c r="Y58" s="828"/>
      <c r="Z58" s="828"/>
      <c r="AA58" s="828"/>
      <c r="AB58" s="470"/>
      <c r="AC58" s="470"/>
      <c r="AD58" s="470"/>
      <c r="AE58" s="470"/>
      <c r="AF58" s="545"/>
    </row>
    <row r="59" spans="1:32">
      <c r="E59" s="470"/>
      <c r="F59" s="470"/>
      <c r="G59" s="470"/>
      <c r="H59" s="470"/>
      <c r="I59" s="470"/>
      <c r="J59" s="470"/>
      <c r="K59" s="470"/>
      <c r="L59" s="470"/>
      <c r="M59" s="470"/>
      <c r="N59" s="470"/>
      <c r="O59" s="470"/>
      <c r="P59" s="517"/>
      <c r="Q59" s="517"/>
      <c r="R59" s="470"/>
      <c r="S59" s="470"/>
      <c r="T59" s="828"/>
      <c r="U59" s="828"/>
      <c r="V59" s="828"/>
      <c r="W59" s="828"/>
      <c r="X59" s="828"/>
      <c r="Y59" s="828"/>
      <c r="Z59" s="828"/>
      <c r="AA59" s="828"/>
      <c r="AB59" s="470"/>
      <c r="AC59" s="470"/>
      <c r="AD59" s="470"/>
      <c r="AE59" s="470"/>
      <c r="AF59" s="545"/>
    </row>
    <row r="60" spans="1:32">
      <c r="E60" s="470"/>
      <c r="F60" s="470"/>
      <c r="G60" s="470"/>
      <c r="H60" s="470"/>
      <c r="I60" s="470"/>
      <c r="J60" s="470"/>
      <c r="K60" s="470"/>
      <c r="L60" s="470"/>
      <c r="M60" s="470"/>
      <c r="N60" s="470"/>
      <c r="O60" s="470"/>
      <c r="P60" s="517"/>
      <c r="Q60" s="517"/>
      <c r="R60" s="470"/>
      <c r="S60" s="470"/>
      <c r="T60" s="828"/>
      <c r="U60" s="828"/>
      <c r="V60" s="828"/>
      <c r="W60" s="828"/>
      <c r="X60" s="828"/>
      <c r="Y60" s="828"/>
      <c r="Z60" s="828"/>
      <c r="AA60" s="828"/>
      <c r="AB60" s="470"/>
      <c r="AC60" s="470"/>
      <c r="AD60" s="470"/>
      <c r="AE60" s="470"/>
      <c r="AF60" s="545"/>
    </row>
    <row r="61" spans="1:32">
      <c r="E61" s="470"/>
      <c r="F61" s="470"/>
      <c r="G61" s="470"/>
      <c r="H61" s="470"/>
      <c r="I61" s="470"/>
      <c r="J61" s="470"/>
      <c r="K61" s="470"/>
      <c r="L61" s="470"/>
      <c r="M61" s="470"/>
      <c r="N61" s="470"/>
      <c r="O61" s="470"/>
      <c r="P61" s="517"/>
      <c r="Q61" s="517"/>
      <c r="R61" s="470"/>
      <c r="S61" s="470"/>
      <c r="T61" s="828"/>
      <c r="U61" s="828"/>
      <c r="V61" s="828"/>
      <c r="W61" s="828"/>
      <c r="X61" s="828"/>
      <c r="Y61" s="828"/>
      <c r="Z61" s="828"/>
      <c r="AA61" s="828"/>
      <c r="AB61" s="470"/>
      <c r="AC61" s="470"/>
      <c r="AD61" s="470"/>
      <c r="AE61" s="470"/>
      <c r="AF61" s="545"/>
    </row>
    <row r="62" spans="1:32">
      <c r="E62" s="470"/>
      <c r="F62" s="470"/>
      <c r="G62" s="470"/>
      <c r="H62" s="470"/>
      <c r="I62" s="470"/>
      <c r="J62" s="470"/>
      <c r="K62" s="470"/>
      <c r="L62" s="470"/>
      <c r="M62" s="470"/>
      <c r="N62" s="470"/>
      <c r="O62" s="470"/>
      <c r="P62" s="517"/>
      <c r="Q62" s="517"/>
      <c r="R62" s="470"/>
      <c r="S62" s="470"/>
      <c r="T62" s="828"/>
      <c r="U62" s="828"/>
      <c r="V62" s="828"/>
      <c r="W62" s="828"/>
      <c r="X62" s="828"/>
      <c r="Y62" s="828"/>
      <c r="Z62" s="828"/>
      <c r="AA62" s="828"/>
      <c r="AB62" s="470"/>
      <c r="AC62" s="470"/>
      <c r="AD62" s="470"/>
      <c r="AE62" s="470"/>
      <c r="AF62" s="545"/>
    </row>
    <row r="63" spans="1:32">
      <c r="E63" s="470"/>
      <c r="F63" s="470"/>
      <c r="G63" s="470"/>
      <c r="H63" s="470"/>
      <c r="I63" s="470"/>
      <c r="J63" s="470"/>
      <c r="K63" s="470"/>
      <c r="L63" s="470"/>
      <c r="M63" s="470"/>
      <c r="N63" s="470"/>
      <c r="O63" s="470"/>
      <c r="P63" s="517"/>
      <c r="Q63" s="517"/>
      <c r="R63" s="470"/>
      <c r="S63" s="470"/>
      <c r="T63" s="828"/>
      <c r="U63" s="828"/>
      <c r="V63" s="828"/>
      <c r="W63" s="828"/>
      <c r="X63" s="828"/>
      <c r="Y63" s="828"/>
      <c r="Z63" s="828"/>
      <c r="AA63" s="828"/>
      <c r="AB63" s="470"/>
      <c r="AC63" s="470"/>
      <c r="AD63" s="470"/>
      <c r="AE63" s="470"/>
      <c r="AF63" s="545"/>
    </row>
    <row r="64" spans="1:32">
      <c r="E64" s="470"/>
      <c r="F64" s="470"/>
      <c r="G64" s="470"/>
      <c r="H64" s="470"/>
      <c r="I64" s="470"/>
      <c r="J64" s="470"/>
      <c r="K64" s="470"/>
      <c r="L64" s="470"/>
      <c r="M64" s="470"/>
      <c r="N64" s="470"/>
      <c r="O64" s="470"/>
      <c r="P64" s="517"/>
      <c r="Q64" s="517"/>
      <c r="R64" s="470"/>
      <c r="S64" s="470"/>
      <c r="T64" s="828"/>
      <c r="U64" s="828"/>
      <c r="V64" s="828"/>
      <c r="W64" s="828"/>
      <c r="X64" s="828"/>
      <c r="Y64" s="828"/>
      <c r="Z64" s="828"/>
      <c r="AA64" s="828"/>
      <c r="AB64" s="470"/>
      <c r="AC64" s="470"/>
      <c r="AD64" s="470"/>
      <c r="AE64" s="470"/>
      <c r="AF64" s="545"/>
    </row>
    <row r="65" spans="5:32">
      <c r="E65" s="470"/>
      <c r="F65" s="470"/>
      <c r="G65" s="470"/>
      <c r="H65" s="470"/>
      <c r="I65" s="470"/>
      <c r="J65" s="470"/>
      <c r="K65" s="470"/>
      <c r="L65" s="470"/>
      <c r="M65" s="470"/>
      <c r="N65" s="470"/>
      <c r="O65" s="470"/>
      <c r="P65" s="517"/>
      <c r="Q65" s="517"/>
      <c r="R65" s="470"/>
      <c r="S65" s="470"/>
      <c r="T65" s="828"/>
      <c r="U65" s="828"/>
      <c r="V65" s="828"/>
      <c r="W65" s="828"/>
      <c r="X65" s="828"/>
      <c r="Y65" s="828"/>
      <c r="Z65" s="828"/>
      <c r="AA65" s="828"/>
      <c r="AB65" s="470"/>
      <c r="AC65" s="470"/>
      <c r="AD65" s="470"/>
      <c r="AE65" s="470"/>
      <c r="AF65" s="545"/>
    </row>
    <row r="66" spans="5:32">
      <c r="E66" s="470"/>
      <c r="F66" s="470"/>
      <c r="G66" s="470"/>
      <c r="H66" s="470"/>
      <c r="I66" s="470"/>
      <c r="J66" s="470"/>
      <c r="K66" s="470"/>
      <c r="L66" s="470"/>
      <c r="M66" s="470"/>
      <c r="N66" s="470"/>
      <c r="O66" s="470"/>
      <c r="P66" s="517"/>
      <c r="Q66" s="517"/>
      <c r="R66" s="470"/>
      <c r="S66" s="470"/>
      <c r="T66" s="828"/>
      <c r="U66" s="828"/>
      <c r="V66" s="828"/>
      <c r="W66" s="828"/>
      <c r="X66" s="828"/>
      <c r="Y66" s="828"/>
      <c r="Z66" s="828"/>
      <c r="AA66" s="828"/>
      <c r="AB66" s="470"/>
      <c r="AC66" s="470"/>
      <c r="AD66" s="470"/>
      <c r="AE66" s="470"/>
      <c r="AF66" s="545"/>
    </row>
    <row r="67" spans="5:32">
      <c r="E67" s="470"/>
      <c r="F67" s="470"/>
      <c r="G67" s="470"/>
      <c r="H67" s="470"/>
      <c r="I67" s="470"/>
      <c r="J67" s="470"/>
      <c r="K67" s="470"/>
      <c r="L67" s="470"/>
      <c r="M67" s="470"/>
      <c r="N67" s="470"/>
      <c r="O67" s="470"/>
      <c r="P67" s="517"/>
      <c r="Q67" s="517"/>
      <c r="R67" s="470"/>
      <c r="S67" s="470"/>
      <c r="T67" s="827"/>
      <c r="U67" s="828"/>
      <c r="V67" s="828"/>
      <c r="W67" s="828"/>
      <c r="X67" s="828"/>
      <c r="Y67" s="828"/>
      <c r="Z67" s="828"/>
      <c r="AA67" s="828"/>
      <c r="AB67" s="470"/>
      <c r="AC67" s="470"/>
      <c r="AD67" s="470"/>
      <c r="AE67" s="470"/>
      <c r="AF67" s="545"/>
    </row>
    <row r="68" spans="5:32">
      <c r="E68" s="470"/>
      <c r="F68" s="470"/>
      <c r="G68" s="470"/>
      <c r="H68" s="470"/>
      <c r="I68" s="470"/>
      <c r="J68" s="470"/>
      <c r="K68" s="470"/>
      <c r="L68" s="470"/>
      <c r="M68" s="470"/>
      <c r="N68" s="470"/>
      <c r="O68" s="470"/>
      <c r="P68" s="517"/>
      <c r="Q68" s="517"/>
      <c r="R68" s="470"/>
      <c r="S68" s="470"/>
      <c r="T68" s="829"/>
      <c r="U68" s="829"/>
      <c r="V68" s="829"/>
      <c r="W68" s="829"/>
      <c r="X68" s="829"/>
      <c r="Y68" s="829"/>
      <c r="Z68" s="829"/>
      <c r="AA68" s="829"/>
      <c r="AB68" s="470"/>
      <c r="AC68" s="470"/>
      <c r="AD68" s="470"/>
      <c r="AE68" s="470"/>
      <c r="AF68" s="545"/>
    </row>
    <row r="69" spans="5:32">
      <c r="E69" s="470"/>
      <c r="F69" s="470"/>
      <c r="G69" s="470"/>
      <c r="H69" s="470"/>
      <c r="I69" s="470"/>
      <c r="J69" s="470"/>
      <c r="K69" s="470"/>
      <c r="L69" s="470"/>
      <c r="M69" s="470"/>
      <c r="N69" s="470"/>
      <c r="O69" s="470"/>
      <c r="P69" s="517"/>
      <c r="Q69" s="517"/>
      <c r="R69" s="470"/>
      <c r="S69" s="470"/>
      <c r="T69" s="828"/>
      <c r="U69" s="828"/>
      <c r="V69" s="828"/>
      <c r="W69" s="828"/>
      <c r="X69" s="828"/>
      <c r="Y69" s="828"/>
      <c r="Z69" s="828"/>
      <c r="AA69" s="828"/>
      <c r="AB69" s="470"/>
      <c r="AC69" s="470"/>
      <c r="AD69" s="470"/>
      <c r="AE69" s="470"/>
      <c r="AF69" s="545"/>
    </row>
    <row r="70" spans="5:32">
      <c r="E70" s="470"/>
      <c r="F70" s="470"/>
      <c r="G70" s="470"/>
      <c r="H70" s="470"/>
      <c r="I70" s="470"/>
      <c r="J70" s="470"/>
      <c r="K70" s="470"/>
      <c r="L70" s="470"/>
      <c r="M70" s="470"/>
      <c r="N70" s="470"/>
      <c r="O70" s="470"/>
      <c r="P70" s="517"/>
      <c r="Q70" s="517"/>
      <c r="R70" s="470"/>
      <c r="S70" s="470"/>
      <c r="T70" s="828"/>
      <c r="U70" s="828"/>
      <c r="V70" s="828"/>
      <c r="W70" s="828"/>
      <c r="X70" s="828"/>
      <c r="Y70" s="828"/>
      <c r="Z70" s="828"/>
      <c r="AA70" s="828"/>
      <c r="AB70" s="470"/>
      <c r="AC70" s="470"/>
      <c r="AD70" s="470"/>
      <c r="AE70" s="470"/>
      <c r="AF70" s="545"/>
    </row>
    <row r="71" spans="5:32">
      <c r="E71" s="470"/>
      <c r="F71" s="470"/>
      <c r="G71" s="470"/>
      <c r="H71" s="470"/>
      <c r="I71" s="470"/>
      <c r="J71" s="470"/>
      <c r="K71" s="470"/>
      <c r="L71" s="470"/>
      <c r="M71" s="470"/>
      <c r="N71" s="470"/>
      <c r="O71" s="470"/>
      <c r="P71" s="517"/>
      <c r="Q71" s="517"/>
      <c r="R71" s="470"/>
      <c r="S71" s="470"/>
      <c r="T71" s="828"/>
      <c r="U71" s="828"/>
      <c r="V71" s="828"/>
      <c r="W71" s="828"/>
      <c r="X71" s="828"/>
      <c r="Y71" s="828"/>
      <c r="Z71" s="828"/>
      <c r="AA71" s="828"/>
      <c r="AB71" s="470"/>
      <c r="AC71" s="470"/>
      <c r="AD71" s="470"/>
      <c r="AE71" s="470"/>
      <c r="AF71" s="545"/>
    </row>
    <row r="72" spans="5:32">
      <c r="E72" s="470"/>
      <c r="F72" s="470"/>
      <c r="G72" s="470"/>
      <c r="H72" s="470"/>
      <c r="I72" s="470"/>
      <c r="J72" s="470"/>
      <c r="K72" s="470"/>
      <c r="L72" s="470"/>
      <c r="M72" s="470"/>
      <c r="N72" s="470"/>
      <c r="O72" s="470"/>
      <c r="P72" s="517"/>
      <c r="Q72" s="517"/>
      <c r="R72" s="470"/>
      <c r="S72" s="470"/>
      <c r="T72" s="828"/>
      <c r="U72" s="828"/>
      <c r="V72" s="828"/>
      <c r="W72" s="828"/>
      <c r="X72" s="828"/>
      <c r="Y72" s="828"/>
      <c r="Z72" s="828"/>
      <c r="AA72" s="828"/>
      <c r="AB72" s="470"/>
      <c r="AC72" s="470"/>
      <c r="AD72" s="470"/>
      <c r="AE72" s="470"/>
      <c r="AF72" s="545"/>
    </row>
    <row r="73" spans="5:32">
      <c r="E73" s="470"/>
      <c r="F73" s="470"/>
      <c r="G73" s="470"/>
      <c r="H73" s="470"/>
      <c r="I73" s="470"/>
      <c r="J73" s="470"/>
      <c r="K73" s="470"/>
      <c r="L73" s="470"/>
      <c r="M73" s="470"/>
      <c r="N73" s="470"/>
      <c r="O73" s="470"/>
      <c r="P73" s="517"/>
      <c r="Q73" s="517"/>
      <c r="R73" s="470"/>
      <c r="S73" s="470"/>
      <c r="T73" s="828"/>
      <c r="U73" s="828"/>
      <c r="V73" s="828"/>
      <c r="W73" s="828"/>
      <c r="X73" s="828"/>
      <c r="Y73" s="828"/>
      <c r="Z73" s="828"/>
      <c r="AA73" s="828"/>
      <c r="AB73" s="470"/>
      <c r="AC73" s="470"/>
      <c r="AD73" s="470"/>
      <c r="AE73" s="470"/>
      <c r="AF73" s="545"/>
    </row>
    <row r="74" spans="5:32">
      <c r="E74" s="470"/>
      <c r="F74" s="470"/>
      <c r="G74" s="470"/>
      <c r="H74" s="470"/>
      <c r="I74" s="470"/>
      <c r="J74" s="470"/>
      <c r="K74" s="470"/>
      <c r="L74" s="470"/>
      <c r="M74" s="470"/>
      <c r="N74" s="470"/>
      <c r="O74" s="470"/>
      <c r="P74" s="517"/>
      <c r="Q74" s="517"/>
      <c r="R74" s="470"/>
      <c r="S74" s="470"/>
      <c r="T74" s="827"/>
      <c r="U74" s="828"/>
      <c r="V74" s="827"/>
      <c r="W74" s="828"/>
      <c r="X74" s="828"/>
      <c r="Y74" s="828"/>
      <c r="Z74" s="828"/>
      <c r="AA74" s="828"/>
      <c r="AB74" s="470"/>
      <c r="AC74" s="470"/>
      <c r="AD74" s="470"/>
      <c r="AE74" s="470"/>
      <c r="AF74" s="545"/>
    </row>
    <row r="75" spans="5:32">
      <c r="E75" s="470"/>
      <c r="F75" s="470"/>
      <c r="G75" s="470"/>
      <c r="H75" s="470"/>
      <c r="I75" s="470"/>
      <c r="J75" s="470"/>
      <c r="K75" s="470"/>
      <c r="L75" s="470"/>
      <c r="M75" s="470"/>
      <c r="N75" s="470"/>
      <c r="O75" s="470"/>
      <c r="P75" s="517"/>
      <c r="Q75" s="517"/>
      <c r="R75" s="470"/>
      <c r="S75" s="470"/>
      <c r="T75" s="832"/>
      <c r="U75" s="832"/>
      <c r="V75" s="832"/>
      <c r="W75" s="832"/>
      <c r="X75" s="832"/>
      <c r="Y75" s="832"/>
      <c r="Z75" s="832"/>
      <c r="AA75" s="832"/>
      <c r="AB75" s="470"/>
      <c r="AC75" s="470"/>
      <c r="AD75" s="470"/>
      <c r="AE75" s="470"/>
      <c r="AF75" s="545"/>
    </row>
    <row r="76" spans="5:32">
      <c r="E76" s="470"/>
      <c r="F76" s="470"/>
      <c r="G76" s="470"/>
      <c r="H76" s="470"/>
      <c r="I76" s="470"/>
      <c r="J76" s="470"/>
      <c r="K76" s="470"/>
      <c r="L76" s="470"/>
      <c r="M76" s="470"/>
      <c r="N76" s="470"/>
      <c r="O76" s="470"/>
      <c r="P76" s="517"/>
      <c r="Q76" s="517"/>
      <c r="R76" s="470"/>
      <c r="S76" s="470"/>
      <c r="T76" s="832"/>
      <c r="U76" s="832"/>
      <c r="V76" s="832"/>
      <c r="W76" s="832"/>
      <c r="X76" s="832"/>
      <c r="Y76" s="832"/>
      <c r="Z76" s="832"/>
      <c r="AA76" s="832"/>
      <c r="AB76" s="470"/>
      <c r="AC76" s="470"/>
      <c r="AD76" s="470"/>
      <c r="AE76" s="470"/>
      <c r="AF76" s="545"/>
    </row>
    <row r="77" spans="5:32">
      <c r="E77" s="470"/>
      <c r="F77" s="470"/>
      <c r="G77" s="470"/>
      <c r="H77" s="470"/>
      <c r="I77" s="470"/>
      <c r="J77" s="470"/>
      <c r="K77" s="470"/>
      <c r="L77" s="470"/>
      <c r="M77" s="470"/>
      <c r="N77" s="470"/>
      <c r="O77" s="470"/>
      <c r="P77" s="517"/>
      <c r="Q77" s="517"/>
      <c r="R77" s="470"/>
      <c r="S77" s="470"/>
      <c r="T77" s="832"/>
      <c r="U77" s="832"/>
      <c r="V77" s="832"/>
      <c r="W77" s="832"/>
      <c r="X77" s="832"/>
      <c r="Y77" s="832"/>
      <c r="Z77" s="832"/>
      <c r="AA77" s="832"/>
      <c r="AB77" s="470"/>
      <c r="AC77" s="470"/>
      <c r="AD77" s="470"/>
      <c r="AE77" s="470"/>
      <c r="AF77" s="545"/>
    </row>
    <row r="78" spans="5:32">
      <c r="E78" s="470"/>
      <c r="F78" s="470"/>
      <c r="G78" s="470"/>
      <c r="H78" s="470"/>
      <c r="I78" s="470"/>
      <c r="J78" s="470"/>
      <c r="K78" s="470"/>
      <c r="L78" s="470"/>
      <c r="M78" s="470"/>
      <c r="N78" s="470"/>
      <c r="O78" s="470"/>
      <c r="P78" s="517"/>
      <c r="Q78" s="517"/>
      <c r="R78" s="470"/>
      <c r="S78" s="470"/>
      <c r="T78" s="828"/>
      <c r="U78" s="828"/>
      <c r="V78" s="828"/>
      <c r="W78" s="828"/>
      <c r="X78" s="828"/>
      <c r="Y78" s="828"/>
      <c r="Z78" s="828"/>
      <c r="AA78" s="828"/>
      <c r="AB78" s="470"/>
      <c r="AC78" s="470"/>
      <c r="AD78" s="470"/>
      <c r="AE78" s="470"/>
      <c r="AF78" s="545"/>
    </row>
    <row r="79" spans="5:32">
      <c r="E79" s="470"/>
      <c r="F79" s="470"/>
      <c r="G79" s="470"/>
      <c r="H79" s="470"/>
      <c r="I79" s="470"/>
      <c r="J79" s="470"/>
      <c r="K79" s="470"/>
      <c r="L79" s="470"/>
      <c r="M79" s="470"/>
      <c r="N79" s="470"/>
      <c r="O79" s="470"/>
      <c r="P79" s="517"/>
      <c r="Q79" s="517"/>
      <c r="R79" s="470"/>
      <c r="S79" s="470"/>
      <c r="T79" s="828"/>
      <c r="U79" s="828"/>
      <c r="V79" s="828"/>
      <c r="W79" s="828"/>
      <c r="X79" s="828"/>
      <c r="Y79" s="828"/>
      <c r="Z79" s="828"/>
      <c r="AA79" s="828"/>
      <c r="AB79" s="470"/>
      <c r="AC79" s="470"/>
      <c r="AD79" s="470"/>
      <c r="AE79" s="470"/>
      <c r="AF79" s="545"/>
    </row>
    <row r="80" spans="5:32">
      <c r="E80" s="470"/>
      <c r="F80" s="470"/>
      <c r="G80" s="470"/>
      <c r="H80" s="470"/>
      <c r="I80" s="470"/>
      <c r="J80" s="470"/>
      <c r="K80" s="470"/>
      <c r="L80" s="470"/>
      <c r="M80" s="470"/>
      <c r="N80" s="470"/>
      <c r="O80" s="470"/>
      <c r="P80" s="517"/>
      <c r="Q80" s="517"/>
      <c r="R80" s="470"/>
      <c r="S80" s="470"/>
      <c r="T80" s="828"/>
      <c r="U80" s="828"/>
      <c r="V80" s="828"/>
      <c r="W80" s="828"/>
      <c r="X80" s="828"/>
      <c r="Y80" s="828"/>
      <c r="Z80" s="828"/>
      <c r="AA80" s="828"/>
      <c r="AB80" s="470"/>
      <c r="AC80" s="470"/>
      <c r="AD80" s="470"/>
      <c r="AE80" s="470"/>
      <c r="AF80" s="545"/>
    </row>
    <row r="81" spans="5:32">
      <c r="E81" s="470"/>
      <c r="F81" s="470"/>
      <c r="G81" s="470"/>
      <c r="H81" s="470"/>
      <c r="I81" s="470"/>
      <c r="J81" s="470"/>
      <c r="K81" s="470"/>
      <c r="L81" s="470"/>
      <c r="M81" s="470"/>
      <c r="N81" s="470"/>
      <c r="O81" s="470"/>
      <c r="P81" s="517"/>
      <c r="Q81" s="517"/>
      <c r="R81" s="470"/>
      <c r="S81" s="470"/>
      <c r="T81" s="827"/>
      <c r="U81" s="828"/>
      <c r="V81" s="827"/>
      <c r="W81" s="828"/>
      <c r="X81" s="828"/>
      <c r="Y81" s="828"/>
      <c r="Z81" s="828"/>
      <c r="AA81" s="828"/>
      <c r="AB81" s="470"/>
      <c r="AC81" s="470"/>
      <c r="AD81" s="470"/>
      <c r="AE81" s="470"/>
      <c r="AF81" s="545"/>
    </row>
    <row r="82" spans="5:32">
      <c r="E82" s="470"/>
      <c r="F82" s="470"/>
      <c r="G82" s="470"/>
      <c r="H82" s="470"/>
      <c r="I82" s="470"/>
      <c r="J82" s="470"/>
      <c r="K82" s="470"/>
      <c r="L82" s="470"/>
      <c r="M82" s="470"/>
      <c r="N82" s="470"/>
      <c r="O82" s="470"/>
      <c r="P82" s="517"/>
      <c r="Q82" s="517"/>
      <c r="R82" s="470"/>
      <c r="S82" s="470"/>
      <c r="T82" s="832"/>
      <c r="U82" s="832"/>
      <c r="V82" s="832"/>
      <c r="W82" s="832"/>
      <c r="X82" s="832"/>
      <c r="Y82" s="832"/>
      <c r="Z82" s="832"/>
      <c r="AA82" s="832"/>
      <c r="AB82" s="470"/>
      <c r="AC82" s="470"/>
      <c r="AD82" s="470"/>
      <c r="AE82" s="470"/>
      <c r="AF82" s="545"/>
    </row>
    <row r="83" spans="5:32">
      <c r="E83" s="470"/>
      <c r="F83" s="470"/>
      <c r="G83" s="470"/>
      <c r="H83" s="470"/>
      <c r="I83" s="470"/>
      <c r="J83" s="470"/>
      <c r="K83" s="470"/>
      <c r="L83" s="470"/>
      <c r="M83" s="470"/>
      <c r="N83" s="470"/>
      <c r="O83" s="470"/>
      <c r="P83" s="517"/>
      <c r="Q83" s="517"/>
      <c r="R83" s="470"/>
      <c r="S83" s="470"/>
      <c r="T83" s="832"/>
      <c r="U83" s="832"/>
      <c r="V83" s="832"/>
      <c r="W83" s="832"/>
      <c r="X83" s="832"/>
      <c r="Y83" s="832"/>
      <c r="Z83" s="832"/>
      <c r="AA83" s="832"/>
      <c r="AB83" s="470"/>
      <c r="AC83" s="470"/>
      <c r="AD83" s="470"/>
      <c r="AE83" s="470"/>
      <c r="AF83" s="545"/>
    </row>
    <row r="84" spans="5:32">
      <c r="E84" s="470"/>
      <c r="F84" s="470"/>
      <c r="G84" s="470"/>
      <c r="H84" s="470"/>
      <c r="I84" s="470"/>
      <c r="J84" s="470"/>
      <c r="K84" s="470"/>
      <c r="L84" s="470"/>
      <c r="M84" s="470"/>
      <c r="N84" s="470"/>
      <c r="O84" s="470"/>
      <c r="P84" s="517"/>
      <c r="Q84" s="517"/>
      <c r="R84" s="470"/>
      <c r="S84" s="470"/>
      <c r="T84" s="832"/>
      <c r="U84" s="832"/>
      <c r="V84" s="832"/>
      <c r="W84" s="832"/>
      <c r="X84" s="832"/>
      <c r="Y84" s="832"/>
      <c r="Z84" s="832"/>
      <c r="AA84" s="832"/>
      <c r="AB84" s="470"/>
      <c r="AC84" s="470"/>
      <c r="AD84" s="470"/>
      <c r="AE84" s="470"/>
      <c r="AF84" s="545"/>
    </row>
    <row r="85" spans="5:32">
      <c r="E85" s="470"/>
      <c r="F85" s="470"/>
      <c r="G85" s="470"/>
      <c r="H85" s="470"/>
      <c r="I85" s="470"/>
      <c r="J85" s="470"/>
      <c r="K85" s="470"/>
      <c r="L85" s="470"/>
      <c r="M85" s="470"/>
      <c r="N85" s="470"/>
      <c r="O85" s="470"/>
      <c r="P85" s="517"/>
      <c r="Q85" s="517"/>
      <c r="R85" s="470"/>
      <c r="S85" s="470"/>
      <c r="T85" s="830"/>
      <c r="U85" s="830"/>
      <c r="V85" s="830"/>
      <c r="W85" s="830"/>
      <c r="X85" s="830"/>
      <c r="Y85" s="830"/>
      <c r="Z85" s="830"/>
      <c r="AA85" s="830"/>
      <c r="AB85" s="470"/>
      <c r="AC85" s="470"/>
      <c r="AD85" s="470"/>
      <c r="AE85" s="470"/>
      <c r="AF85" s="545"/>
    </row>
    <row r="86" spans="5:32">
      <c r="E86" s="470"/>
      <c r="F86" s="470"/>
      <c r="G86" s="470"/>
      <c r="H86" s="470"/>
      <c r="I86" s="470"/>
      <c r="J86" s="470"/>
      <c r="K86" s="470"/>
      <c r="L86" s="470"/>
      <c r="M86" s="470"/>
      <c r="N86" s="470"/>
      <c r="O86" s="470"/>
      <c r="P86" s="517"/>
      <c r="Q86" s="517"/>
      <c r="R86" s="470"/>
      <c r="S86" s="470"/>
      <c r="T86" s="305"/>
      <c r="U86" s="305"/>
      <c r="V86" s="305"/>
      <c r="W86" s="305"/>
      <c r="AB86" s="470"/>
      <c r="AC86" s="470"/>
      <c r="AD86" s="470"/>
      <c r="AE86" s="470"/>
      <c r="AF86" s="545"/>
    </row>
    <row r="87" spans="5:32">
      <c r="E87" s="470"/>
      <c r="F87" s="470"/>
      <c r="G87" s="470"/>
      <c r="H87" s="470"/>
      <c r="I87" s="470"/>
      <c r="J87" s="470"/>
      <c r="K87" s="470"/>
      <c r="L87" s="470"/>
      <c r="M87" s="470"/>
      <c r="N87" s="470"/>
      <c r="O87" s="470"/>
      <c r="P87" s="517"/>
      <c r="Q87" s="517"/>
      <c r="R87" s="470"/>
      <c r="S87" s="470"/>
      <c r="T87" s="305"/>
      <c r="U87" s="305"/>
      <c r="V87" s="305"/>
      <c r="W87" s="305"/>
      <c r="AB87" s="470"/>
      <c r="AC87" s="470"/>
      <c r="AD87" s="470"/>
      <c r="AE87" s="470"/>
      <c r="AF87" s="545"/>
    </row>
    <row r="88" spans="5:32">
      <c r="E88" s="470"/>
      <c r="F88" s="470"/>
      <c r="G88" s="470"/>
      <c r="H88" s="470"/>
      <c r="I88" s="470"/>
      <c r="J88" s="470"/>
      <c r="K88" s="470"/>
      <c r="L88" s="470"/>
      <c r="M88" s="470"/>
      <c r="N88" s="470"/>
      <c r="O88" s="470"/>
      <c r="P88" s="517"/>
      <c r="Q88" s="517"/>
      <c r="R88" s="470"/>
      <c r="S88" s="470"/>
      <c r="T88" s="305"/>
      <c r="U88" s="305"/>
      <c r="V88" s="305"/>
      <c r="W88" s="305"/>
      <c r="AB88" s="470"/>
      <c r="AC88" s="470"/>
      <c r="AD88" s="470"/>
      <c r="AE88" s="470"/>
      <c r="AF88" s="545"/>
    </row>
    <row r="89" spans="5:32">
      <c r="E89" s="470"/>
      <c r="F89" s="470"/>
      <c r="G89" s="470"/>
      <c r="H89" s="470"/>
      <c r="I89" s="470"/>
      <c r="J89" s="470"/>
      <c r="K89" s="470"/>
      <c r="L89" s="470"/>
      <c r="M89" s="470"/>
      <c r="N89" s="470"/>
      <c r="O89" s="470"/>
      <c r="P89" s="517"/>
      <c r="Q89" s="517"/>
      <c r="R89" s="470"/>
      <c r="S89" s="470"/>
      <c r="T89" s="321"/>
      <c r="U89" s="321"/>
      <c r="V89" s="321"/>
      <c r="W89" s="321"/>
      <c r="X89" s="321"/>
      <c r="Y89" s="321"/>
      <c r="Z89" s="321"/>
      <c r="AA89" s="321"/>
      <c r="AB89" s="470"/>
      <c r="AC89" s="470"/>
      <c r="AD89" s="470"/>
      <c r="AE89" s="470"/>
      <c r="AF89" s="545"/>
    </row>
    <row r="90" spans="5:32">
      <c r="E90" s="470"/>
      <c r="F90" s="470"/>
      <c r="G90" s="470"/>
      <c r="H90" s="470"/>
      <c r="I90" s="470"/>
      <c r="J90" s="470"/>
      <c r="K90" s="470"/>
      <c r="L90" s="470"/>
      <c r="M90" s="470"/>
      <c r="N90" s="470"/>
      <c r="O90" s="470"/>
      <c r="P90" s="517"/>
      <c r="Q90" s="517"/>
      <c r="R90" s="470"/>
      <c r="S90" s="470"/>
      <c r="T90" s="470"/>
      <c r="U90" s="470"/>
      <c r="V90" s="470"/>
      <c r="W90" s="470"/>
      <c r="X90" s="545"/>
      <c r="AB90" s="470"/>
      <c r="AC90" s="470"/>
      <c r="AD90" s="470"/>
      <c r="AE90" s="470"/>
      <c r="AF90" s="545"/>
    </row>
    <row r="91" spans="5:32">
      <c r="E91" s="470"/>
      <c r="F91" s="470"/>
      <c r="G91" s="470"/>
      <c r="H91" s="470"/>
      <c r="I91" s="470"/>
      <c r="J91" s="470"/>
      <c r="K91" s="470"/>
      <c r="L91" s="470"/>
      <c r="M91" s="470"/>
      <c r="N91" s="470"/>
      <c r="O91" s="470"/>
      <c r="P91" s="517"/>
      <c r="Q91" s="517"/>
      <c r="R91" s="470"/>
      <c r="S91" s="470"/>
      <c r="T91" s="470"/>
      <c r="U91" s="470"/>
      <c r="V91" s="470"/>
      <c r="W91" s="470"/>
      <c r="X91" s="545"/>
    </row>
    <row r="92" spans="5:32">
      <c r="E92" s="470"/>
      <c r="F92" s="470"/>
      <c r="G92" s="470"/>
      <c r="H92" s="470"/>
      <c r="I92" s="470"/>
      <c r="J92" s="470"/>
      <c r="K92" s="470"/>
      <c r="L92" s="470"/>
      <c r="M92" s="470"/>
      <c r="N92" s="470"/>
      <c r="O92" s="470"/>
      <c r="P92" s="517"/>
      <c r="Q92" s="517"/>
      <c r="R92" s="470"/>
      <c r="S92" s="470"/>
      <c r="T92" s="470"/>
      <c r="U92" s="470"/>
      <c r="V92" s="470"/>
      <c r="W92" s="470"/>
      <c r="X92" s="545"/>
    </row>
    <row r="93" spans="5:32">
      <c r="E93" s="470"/>
      <c r="F93" s="470"/>
      <c r="G93" s="470"/>
      <c r="H93" s="470"/>
      <c r="I93" s="470"/>
      <c r="J93" s="470"/>
      <c r="K93" s="470"/>
      <c r="L93" s="470"/>
      <c r="M93" s="470"/>
      <c r="N93" s="470"/>
      <c r="O93" s="470"/>
      <c r="P93" s="517"/>
      <c r="Q93" s="517"/>
      <c r="R93" s="470"/>
      <c r="S93" s="470"/>
      <c r="T93" s="470"/>
      <c r="U93" s="470"/>
      <c r="V93" s="470"/>
      <c r="W93" s="470"/>
      <c r="X93" s="545"/>
    </row>
    <row r="94" spans="5:32">
      <c r="E94" s="470"/>
      <c r="F94" s="470"/>
      <c r="G94" s="470"/>
      <c r="H94" s="470"/>
      <c r="I94" s="470"/>
      <c r="J94" s="470"/>
      <c r="K94" s="470"/>
      <c r="L94" s="470"/>
      <c r="M94" s="470"/>
      <c r="N94" s="470"/>
      <c r="O94" s="470"/>
      <c r="P94" s="517"/>
      <c r="Q94" s="517"/>
      <c r="R94" s="470"/>
      <c r="S94" s="470"/>
      <c r="T94" s="470"/>
      <c r="U94" s="470"/>
      <c r="V94" s="470"/>
      <c r="W94" s="470"/>
      <c r="X94" s="545"/>
    </row>
    <row r="95" spans="5:32">
      <c r="E95" s="470"/>
      <c r="F95" s="470"/>
      <c r="G95" s="470"/>
      <c r="H95" s="470"/>
      <c r="I95" s="470"/>
      <c r="J95" s="470"/>
      <c r="K95" s="470"/>
      <c r="L95" s="470"/>
      <c r="M95" s="470"/>
      <c r="N95" s="470"/>
      <c r="O95" s="470"/>
      <c r="P95" s="517"/>
      <c r="Q95" s="517"/>
      <c r="R95" s="470"/>
      <c r="S95" s="470"/>
      <c r="T95" s="470"/>
      <c r="U95" s="470"/>
      <c r="V95" s="470"/>
      <c r="W95" s="470"/>
      <c r="X95" s="545"/>
    </row>
    <row r="96" spans="5:32">
      <c r="E96" s="470"/>
      <c r="F96" s="470"/>
      <c r="G96" s="470"/>
      <c r="H96" s="470"/>
      <c r="I96" s="470"/>
      <c r="J96" s="470"/>
      <c r="K96" s="470"/>
      <c r="L96" s="470"/>
      <c r="M96" s="470"/>
      <c r="N96" s="470"/>
      <c r="O96" s="470"/>
      <c r="P96" s="517"/>
      <c r="Q96" s="517"/>
      <c r="R96" s="470"/>
      <c r="S96" s="470"/>
      <c r="T96" s="470"/>
      <c r="U96" s="470"/>
      <c r="V96" s="470"/>
      <c r="W96" s="470"/>
      <c r="X96" s="545"/>
    </row>
    <row r="97" spans="5:24">
      <c r="E97" s="470"/>
      <c r="F97" s="470"/>
      <c r="G97" s="470"/>
      <c r="H97" s="470"/>
      <c r="I97" s="470"/>
      <c r="J97" s="470"/>
      <c r="K97" s="470"/>
      <c r="L97" s="470"/>
      <c r="M97" s="470"/>
      <c r="N97" s="470"/>
      <c r="O97" s="470"/>
      <c r="P97" s="517"/>
      <c r="Q97" s="517"/>
      <c r="R97" s="470"/>
      <c r="S97" s="470"/>
      <c r="T97" s="470"/>
      <c r="U97" s="470"/>
      <c r="V97" s="470"/>
      <c r="W97" s="470"/>
      <c r="X97" s="545"/>
    </row>
    <row r="98" spans="5:24">
      <c r="E98" s="470"/>
      <c r="F98" s="470"/>
      <c r="G98" s="470"/>
      <c r="H98" s="470"/>
      <c r="I98" s="470"/>
      <c r="J98" s="470"/>
      <c r="K98" s="470"/>
      <c r="L98" s="470"/>
      <c r="M98" s="470"/>
      <c r="N98" s="470"/>
      <c r="O98" s="470"/>
      <c r="P98" s="517"/>
      <c r="Q98" s="517"/>
      <c r="R98" s="470"/>
      <c r="S98" s="470"/>
      <c r="T98" s="470"/>
      <c r="U98" s="470"/>
      <c r="V98" s="470"/>
      <c r="W98" s="470"/>
      <c r="X98" s="545"/>
    </row>
    <row r="99" spans="5:24">
      <c r="E99" s="470"/>
      <c r="F99" s="470"/>
      <c r="G99" s="470"/>
      <c r="H99" s="470"/>
      <c r="I99" s="470"/>
      <c r="J99" s="470"/>
      <c r="K99" s="470"/>
      <c r="L99" s="470"/>
      <c r="M99" s="470"/>
      <c r="N99" s="470"/>
      <c r="O99" s="470"/>
      <c r="P99" s="517"/>
      <c r="Q99" s="517"/>
      <c r="R99" s="470"/>
      <c r="S99" s="470"/>
      <c r="T99" s="470"/>
      <c r="U99" s="470"/>
      <c r="V99" s="470"/>
      <c r="W99" s="470"/>
      <c r="X99" s="545"/>
    </row>
    <row r="100" spans="5:24">
      <c r="E100" s="470"/>
      <c r="F100" s="470"/>
      <c r="G100" s="470"/>
      <c r="H100" s="470"/>
      <c r="I100" s="470"/>
      <c r="J100" s="470"/>
      <c r="K100" s="470"/>
      <c r="L100" s="470"/>
      <c r="M100" s="470"/>
      <c r="N100" s="470"/>
      <c r="O100" s="470"/>
      <c r="P100" s="517"/>
      <c r="Q100" s="517"/>
      <c r="R100" s="470"/>
      <c r="S100" s="470"/>
      <c r="T100" s="470"/>
      <c r="U100" s="470"/>
      <c r="V100" s="470"/>
      <c r="W100" s="470"/>
      <c r="X100" s="545"/>
    </row>
    <row r="101" spans="5:24">
      <c r="E101" s="470"/>
      <c r="F101" s="470"/>
      <c r="G101" s="470"/>
      <c r="H101" s="470"/>
      <c r="I101" s="470"/>
      <c r="J101" s="470"/>
      <c r="K101" s="470"/>
      <c r="L101" s="470"/>
      <c r="M101" s="470"/>
      <c r="N101" s="470"/>
      <c r="O101" s="470"/>
      <c r="P101" s="517"/>
      <c r="Q101" s="517"/>
      <c r="R101" s="470"/>
      <c r="S101" s="470"/>
      <c r="T101" s="470"/>
      <c r="U101" s="470"/>
      <c r="V101" s="470"/>
      <c r="W101" s="470"/>
      <c r="X101" s="545"/>
    </row>
    <row r="102" spans="5:24">
      <c r="E102" s="470"/>
      <c r="F102" s="470"/>
      <c r="G102" s="470"/>
      <c r="H102" s="470"/>
      <c r="I102" s="470"/>
      <c r="J102" s="470"/>
      <c r="K102" s="470"/>
      <c r="L102" s="470"/>
      <c r="M102" s="470"/>
      <c r="N102" s="470"/>
      <c r="O102" s="470"/>
      <c r="P102" s="517"/>
      <c r="Q102" s="517"/>
      <c r="R102" s="470"/>
      <c r="S102" s="470"/>
      <c r="T102" s="470"/>
      <c r="U102" s="470"/>
      <c r="V102" s="470"/>
      <c r="W102" s="470"/>
      <c r="X102" s="545"/>
    </row>
    <row r="103" spans="5:24">
      <c r="E103" s="470"/>
      <c r="F103" s="470"/>
      <c r="G103" s="470"/>
      <c r="H103" s="470"/>
      <c r="I103" s="470"/>
      <c r="J103" s="470"/>
      <c r="K103" s="470"/>
      <c r="L103" s="470"/>
      <c r="M103" s="470"/>
      <c r="N103" s="470"/>
      <c r="O103" s="470"/>
      <c r="P103" s="517"/>
      <c r="Q103" s="517"/>
      <c r="R103" s="470"/>
      <c r="S103" s="470"/>
      <c r="T103" s="470"/>
      <c r="U103" s="470"/>
      <c r="V103" s="470"/>
      <c r="W103" s="470"/>
      <c r="X103" s="545"/>
    </row>
    <row r="104" spans="5:24">
      <c r="E104" s="470"/>
      <c r="F104" s="470"/>
      <c r="G104" s="470"/>
      <c r="H104" s="470"/>
      <c r="I104" s="470"/>
      <c r="J104" s="470"/>
      <c r="K104" s="470"/>
      <c r="L104" s="470"/>
      <c r="M104" s="470"/>
      <c r="N104" s="470"/>
      <c r="O104" s="470"/>
      <c r="P104" s="517"/>
      <c r="Q104" s="517"/>
      <c r="R104" s="470"/>
      <c r="S104" s="470"/>
      <c r="T104" s="470"/>
      <c r="U104" s="470"/>
      <c r="V104" s="470"/>
      <c r="W104" s="470"/>
      <c r="X104" s="545"/>
    </row>
    <row r="105" spans="5:24">
      <c r="E105" s="470"/>
      <c r="F105" s="470"/>
      <c r="G105" s="470"/>
      <c r="H105" s="470"/>
      <c r="I105" s="470"/>
      <c r="J105" s="470"/>
      <c r="K105" s="470"/>
      <c r="L105" s="470"/>
      <c r="M105" s="470"/>
      <c r="N105" s="470"/>
      <c r="O105" s="470"/>
      <c r="P105" s="517"/>
      <c r="Q105" s="517"/>
      <c r="R105" s="470"/>
      <c r="S105" s="470"/>
      <c r="T105" s="470"/>
      <c r="U105" s="470"/>
      <c r="V105" s="470"/>
      <c r="W105" s="470"/>
      <c r="X105" s="545"/>
    </row>
    <row r="106" spans="5:24">
      <c r="E106" s="470"/>
      <c r="F106" s="470"/>
      <c r="G106" s="470"/>
      <c r="H106" s="470"/>
      <c r="I106" s="470"/>
      <c r="J106" s="470"/>
      <c r="K106" s="470"/>
      <c r="L106" s="470"/>
      <c r="M106" s="470"/>
      <c r="N106" s="470"/>
      <c r="O106" s="470"/>
      <c r="P106" s="517"/>
      <c r="Q106" s="517"/>
      <c r="R106" s="470"/>
      <c r="S106" s="470"/>
      <c r="T106" s="470"/>
      <c r="U106" s="470"/>
      <c r="V106" s="470"/>
      <c r="W106" s="470"/>
      <c r="X106" s="545"/>
    </row>
    <row r="107" spans="5:24">
      <c r="E107" s="470"/>
      <c r="F107" s="470"/>
      <c r="G107" s="470"/>
      <c r="H107" s="470"/>
      <c r="I107" s="470"/>
      <c r="J107" s="470"/>
      <c r="K107" s="470"/>
      <c r="L107" s="470"/>
      <c r="M107" s="470"/>
      <c r="N107" s="470"/>
      <c r="O107" s="470"/>
      <c r="P107" s="517"/>
      <c r="Q107" s="517"/>
      <c r="R107" s="470"/>
      <c r="S107" s="470"/>
      <c r="T107" s="470"/>
      <c r="U107" s="470"/>
      <c r="V107" s="470"/>
      <c r="W107" s="470"/>
      <c r="X107" s="545"/>
    </row>
    <row r="108" spans="5:24">
      <c r="E108" s="470"/>
      <c r="F108" s="470"/>
      <c r="G108" s="470"/>
      <c r="H108" s="470"/>
      <c r="I108" s="470"/>
      <c r="J108" s="470"/>
      <c r="K108" s="470"/>
      <c r="L108" s="470"/>
      <c r="M108" s="470"/>
      <c r="N108" s="470"/>
      <c r="O108" s="470"/>
      <c r="P108" s="517"/>
      <c r="Q108" s="517"/>
      <c r="R108" s="470"/>
      <c r="S108" s="470"/>
      <c r="T108" s="470"/>
      <c r="U108" s="470"/>
      <c r="V108" s="470"/>
      <c r="W108" s="470"/>
      <c r="X108" s="545"/>
    </row>
    <row r="109" spans="5:24">
      <c r="E109" s="470"/>
      <c r="F109" s="470"/>
      <c r="G109" s="470"/>
      <c r="H109" s="470"/>
      <c r="I109" s="470"/>
      <c r="J109" s="470"/>
      <c r="K109" s="470"/>
      <c r="L109" s="470"/>
      <c r="M109" s="470"/>
      <c r="N109" s="470"/>
      <c r="O109" s="470"/>
      <c r="P109" s="517"/>
      <c r="Q109" s="517"/>
      <c r="R109" s="470"/>
      <c r="S109" s="470"/>
      <c r="T109" s="470"/>
      <c r="U109" s="470"/>
      <c r="V109" s="470"/>
      <c r="W109" s="470"/>
      <c r="X109" s="545"/>
    </row>
    <row r="110" spans="5:24">
      <c r="E110" s="470"/>
      <c r="F110" s="470"/>
      <c r="G110" s="470"/>
      <c r="H110" s="470"/>
      <c r="I110" s="470"/>
      <c r="J110" s="470"/>
      <c r="K110" s="470"/>
      <c r="L110" s="470"/>
      <c r="M110" s="470"/>
      <c r="N110" s="470"/>
      <c r="O110" s="470"/>
      <c r="P110" s="517"/>
      <c r="Q110" s="517"/>
      <c r="R110" s="470"/>
      <c r="S110" s="470"/>
      <c r="T110" s="470"/>
      <c r="U110" s="470"/>
      <c r="V110" s="470"/>
      <c r="W110" s="470"/>
      <c r="X110" s="545"/>
    </row>
    <row r="111" spans="5:24">
      <c r="E111" s="470"/>
      <c r="F111" s="470"/>
      <c r="G111" s="470"/>
      <c r="H111" s="470"/>
      <c r="I111" s="470"/>
      <c r="J111" s="470"/>
      <c r="K111" s="470"/>
      <c r="L111" s="470"/>
      <c r="M111" s="470"/>
      <c r="N111" s="470"/>
      <c r="O111" s="470"/>
      <c r="P111" s="517"/>
      <c r="Q111" s="517"/>
      <c r="R111" s="470"/>
      <c r="S111" s="470"/>
      <c r="T111" s="470"/>
      <c r="U111" s="470"/>
      <c r="V111" s="470"/>
      <c r="W111" s="470"/>
      <c r="X111" s="545"/>
    </row>
    <row r="112" spans="5:24">
      <c r="E112" s="470"/>
      <c r="F112" s="470"/>
      <c r="G112" s="470"/>
      <c r="H112" s="470"/>
      <c r="I112" s="470"/>
      <c r="J112" s="470"/>
      <c r="K112" s="470"/>
      <c r="L112" s="470"/>
      <c r="M112" s="470"/>
      <c r="N112" s="470"/>
      <c r="O112" s="470"/>
      <c r="P112" s="517"/>
      <c r="Q112" s="517"/>
      <c r="R112" s="470"/>
      <c r="S112" s="470"/>
      <c r="T112" s="470"/>
      <c r="U112" s="470"/>
      <c r="V112" s="470"/>
      <c r="W112" s="470"/>
      <c r="X112" s="545"/>
    </row>
    <row r="113" spans="5:24">
      <c r="E113" s="470"/>
      <c r="F113" s="470"/>
      <c r="G113" s="470"/>
      <c r="H113" s="470"/>
      <c r="I113" s="470"/>
      <c r="J113" s="470"/>
      <c r="K113" s="470"/>
      <c r="L113" s="470"/>
      <c r="M113" s="470"/>
      <c r="N113" s="470"/>
      <c r="O113" s="470"/>
      <c r="P113" s="517"/>
      <c r="Q113" s="517"/>
      <c r="R113" s="470"/>
      <c r="S113" s="470"/>
      <c r="T113" s="470"/>
      <c r="U113" s="470"/>
      <c r="V113" s="470"/>
      <c r="W113" s="470"/>
      <c r="X113" s="545"/>
    </row>
    <row r="114" spans="5:24">
      <c r="E114" s="470"/>
      <c r="F114" s="470"/>
      <c r="G114" s="470"/>
      <c r="H114" s="470"/>
      <c r="I114" s="470"/>
      <c r="J114" s="470"/>
      <c r="K114" s="470"/>
      <c r="L114" s="470"/>
      <c r="M114" s="470"/>
      <c r="N114" s="470"/>
      <c r="O114" s="470"/>
      <c r="P114" s="517"/>
      <c r="Q114" s="517"/>
      <c r="R114" s="470"/>
      <c r="S114" s="470"/>
      <c r="T114" s="470"/>
      <c r="U114" s="470"/>
      <c r="V114" s="470"/>
      <c r="W114" s="470"/>
      <c r="X114" s="545"/>
    </row>
    <row r="115" spans="5:24">
      <c r="E115" s="470"/>
      <c r="F115" s="470"/>
      <c r="G115" s="470"/>
      <c r="H115" s="470"/>
      <c r="I115" s="470"/>
      <c r="J115" s="470"/>
      <c r="K115" s="470"/>
      <c r="L115" s="470"/>
      <c r="M115" s="470"/>
      <c r="N115" s="470"/>
      <c r="O115" s="470"/>
      <c r="P115" s="517"/>
      <c r="Q115" s="517"/>
      <c r="R115" s="470"/>
      <c r="S115" s="470"/>
      <c r="T115" s="470"/>
      <c r="U115" s="470"/>
      <c r="V115" s="470"/>
      <c r="W115" s="470"/>
      <c r="X115" s="545"/>
    </row>
    <row r="116" spans="5:24">
      <c r="E116" s="470"/>
      <c r="F116" s="470"/>
      <c r="G116" s="470"/>
      <c r="H116" s="470"/>
      <c r="I116" s="470"/>
      <c r="J116" s="470"/>
      <c r="K116" s="470"/>
      <c r="L116" s="470"/>
      <c r="M116" s="470"/>
      <c r="N116" s="470"/>
      <c r="O116" s="470"/>
      <c r="P116" s="517"/>
      <c r="Q116" s="517"/>
      <c r="R116" s="470"/>
      <c r="S116" s="470"/>
      <c r="T116" s="470"/>
      <c r="U116" s="470"/>
      <c r="V116" s="470"/>
      <c r="W116" s="470"/>
      <c r="X116" s="545"/>
    </row>
    <row r="117" spans="5:24">
      <c r="E117" s="470"/>
      <c r="F117" s="470"/>
      <c r="G117" s="470"/>
      <c r="H117" s="470"/>
      <c r="I117" s="470"/>
      <c r="J117" s="470"/>
      <c r="K117" s="470"/>
      <c r="L117" s="470"/>
      <c r="M117" s="470"/>
      <c r="N117" s="470"/>
      <c r="O117" s="470"/>
      <c r="P117" s="517"/>
      <c r="Q117" s="517"/>
      <c r="R117" s="470"/>
      <c r="S117" s="470"/>
      <c r="T117" s="470"/>
      <c r="U117" s="470"/>
      <c r="V117" s="470"/>
      <c r="W117" s="470"/>
      <c r="X117" s="545"/>
    </row>
    <row r="118" spans="5:24">
      <c r="E118" s="470"/>
      <c r="F118" s="470"/>
      <c r="G118" s="470"/>
      <c r="H118" s="470"/>
      <c r="I118" s="470"/>
      <c r="J118" s="470"/>
      <c r="K118" s="470"/>
      <c r="L118" s="470"/>
      <c r="M118" s="470"/>
      <c r="N118" s="470"/>
      <c r="O118" s="470"/>
      <c r="P118" s="517"/>
      <c r="Q118" s="517"/>
      <c r="R118" s="470"/>
      <c r="S118" s="470"/>
      <c r="T118" s="470"/>
      <c r="U118" s="470"/>
      <c r="V118" s="470"/>
      <c r="W118" s="470"/>
      <c r="X118" s="545"/>
    </row>
    <row r="119" spans="5:24">
      <c r="E119" s="470"/>
      <c r="F119" s="470"/>
      <c r="G119" s="470"/>
      <c r="H119" s="470"/>
      <c r="I119" s="470"/>
      <c r="J119" s="470"/>
      <c r="K119" s="470"/>
      <c r="L119" s="470"/>
      <c r="M119" s="470"/>
      <c r="N119" s="470"/>
      <c r="O119" s="470"/>
      <c r="P119" s="517"/>
      <c r="Q119" s="517"/>
      <c r="R119" s="470"/>
      <c r="S119" s="470"/>
      <c r="T119" s="470"/>
      <c r="U119" s="470"/>
      <c r="V119" s="470"/>
      <c r="W119" s="470"/>
      <c r="X119" s="545"/>
    </row>
    <row r="120" spans="5:24">
      <c r="E120" s="470"/>
      <c r="F120" s="470"/>
      <c r="G120" s="470"/>
      <c r="H120" s="470"/>
      <c r="I120" s="470"/>
      <c r="J120" s="470"/>
      <c r="K120" s="470"/>
      <c r="L120" s="470"/>
      <c r="M120" s="470"/>
      <c r="N120" s="470"/>
      <c r="O120" s="470"/>
      <c r="P120" s="517"/>
      <c r="Q120" s="517"/>
      <c r="R120" s="470"/>
      <c r="S120" s="470"/>
      <c r="T120" s="470"/>
      <c r="U120" s="470"/>
      <c r="V120" s="470"/>
      <c r="W120" s="470"/>
      <c r="X120" s="545"/>
    </row>
    <row r="121" spans="5:24">
      <c r="E121" s="470"/>
      <c r="F121" s="470"/>
      <c r="G121" s="470"/>
      <c r="H121" s="470"/>
      <c r="I121" s="470"/>
      <c r="J121" s="470"/>
      <c r="K121" s="470"/>
      <c r="L121" s="470"/>
      <c r="M121" s="470"/>
      <c r="N121" s="470"/>
      <c r="O121" s="470"/>
      <c r="P121" s="517"/>
      <c r="Q121" s="517"/>
      <c r="R121" s="470"/>
      <c r="S121" s="470"/>
      <c r="T121" s="470"/>
      <c r="U121" s="470"/>
      <c r="V121" s="470"/>
      <c r="W121" s="470"/>
      <c r="X121" s="545"/>
    </row>
    <row r="122" spans="5:24">
      <c r="E122" s="470"/>
      <c r="F122" s="470"/>
      <c r="G122" s="470"/>
      <c r="H122" s="470"/>
      <c r="I122" s="470"/>
      <c r="J122" s="470"/>
      <c r="K122" s="470"/>
      <c r="L122" s="470"/>
      <c r="M122" s="470"/>
      <c r="N122" s="470"/>
      <c r="O122" s="470"/>
      <c r="P122" s="517"/>
      <c r="Q122" s="517"/>
      <c r="R122" s="470"/>
      <c r="S122" s="470"/>
      <c r="T122" s="470"/>
      <c r="U122" s="470"/>
      <c r="V122" s="470"/>
      <c r="W122" s="470"/>
      <c r="X122" s="545"/>
    </row>
    <row r="123" spans="5:24">
      <c r="E123" s="470"/>
      <c r="F123" s="470"/>
      <c r="G123" s="470"/>
      <c r="H123" s="470"/>
      <c r="I123" s="470"/>
      <c r="J123" s="470"/>
      <c r="K123" s="470"/>
      <c r="L123" s="470"/>
      <c r="M123" s="470"/>
      <c r="N123" s="470"/>
      <c r="O123" s="470"/>
      <c r="P123" s="517"/>
      <c r="Q123" s="517"/>
      <c r="R123" s="470"/>
      <c r="S123" s="470"/>
      <c r="T123" s="470"/>
      <c r="U123" s="470"/>
      <c r="V123" s="470"/>
      <c r="W123" s="470"/>
      <c r="X123" s="545"/>
    </row>
    <row r="124" spans="5:24">
      <c r="E124" s="470"/>
      <c r="F124" s="470"/>
      <c r="G124" s="470"/>
      <c r="H124" s="470"/>
      <c r="I124" s="470"/>
      <c r="J124" s="470"/>
      <c r="K124" s="470"/>
      <c r="L124" s="470"/>
      <c r="M124" s="470"/>
      <c r="N124" s="470"/>
      <c r="O124" s="470"/>
      <c r="P124" s="517"/>
      <c r="Q124" s="517"/>
      <c r="R124" s="470"/>
      <c r="S124" s="470"/>
      <c r="T124" s="470"/>
      <c r="U124" s="470"/>
      <c r="V124" s="470"/>
      <c r="W124" s="470"/>
      <c r="X124" s="545"/>
    </row>
    <row r="125" spans="5:24">
      <c r="E125" s="470"/>
      <c r="F125" s="470"/>
      <c r="G125" s="470"/>
      <c r="H125" s="470"/>
      <c r="I125" s="470"/>
      <c r="J125" s="470"/>
      <c r="K125" s="470"/>
      <c r="L125" s="470"/>
      <c r="M125" s="470"/>
      <c r="N125" s="470"/>
      <c r="O125" s="470"/>
      <c r="P125" s="517"/>
      <c r="Q125" s="517"/>
      <c r="R125" s="470"/>
      <c r="S125" s="470"/>
      <c r="T125" s="470"/>
      <c r="U125" s="470"/>
      <c r="V125" s="470"/>
      <c r="W125" s="470"/>
      <c r="X125" s="545"/>
    </row>
    <row r="126" spans="5:24">
      <c r="E126" s="470"/>
      <c r="F126" s="470"/>
      <c r="G126" s="470"/>
      <c r="H126" s="470"/>
      <c r="I126" s="470"/>
      <c r="J126" s="470"/>
      <c r="K126" s="470"/>
      <c r="L126" s="470"/>
      <c r="M126" s="470"/>
      <c r="N126" s="470"/>
      <c r="O126" s="470"/>
      <c r="P126" s="517"/>
      <c r="Q126" s="517"/>
      <c r="R126" s="470"/>
      <c r="S126" s="470"/>
      <c r="T126" s="470"/>
      <c r="U126" s="470"/>
      <c r="V126" s="470"/>
      <c r="W126" s="470"/>
      <c r="X126" s="545"/>
    </row>
    <row r="127" spans="5:24">
      <c r="E127" s="470"/>
      <c r="F127" s="470"/>
      <c r="G127" s="470"/>
      <c r="H127" s="470"/>
      <c r="I127" s="470"/>
      <c r="J127" s="470"/>
      <c r="K127" s="470"/>
      <c r="L127" s="470"/>
      <c r="M127" s="470"/>
      <c r="N127" s="470"/>
      <c r="O127" s="470"/>
      <c r="P127" s="517"/>
      <c r="Q127" s="517"/>
      <c r="R127" s="470"/>
      <c r="S127" s="470"/>
      <c r="T127" s="470"/>
      <c r="U127" s="470"/>
      <c r="V127" s="470"/>
      <c r="W127" s="470"/>
      <c r="X127" s="545"/>
    </row>
    <row r="128" spans="5:24">
      <c r="E128" s="470"/>
      <c r="F128" s="470"/>
      <c r="G128" s="470"/>
      <c r="H128" s="470"/>
      <c r="I128" s="470"/>
      <c r="J128" s="470"/>
      <c r="K128" s="470"/>
      <c r="L128" s="470"/>
      <c r="M128" s="470"/>
      <c r="N128" s="470"/>
      <c r="O128" s="470"/>
      <c r="P128" s="517"/>
      <c r="Q128" s="517"/>
      <c r="R128" s="470"/>
      <c r="S128" s="470"/>
      <c r="T128" s="470"/>
      <c r="U128" s="470"/>
      <c r="V128" s="470"/>
      <c r="W128" s="470"/>
      <c r="X128" s="545"/>
    </row>
    <row r="129" spans="5:24">
      <c r="E129" s="470"/>
      <c r="F129" s="470"/>
      <c r="G129" s="470"/>
      <c r="H129" s="470"/>
      <c r="I129" s="470"/>
      <c r="J129" s="470"/>
      <c r="K129" s="470"/>
      <c r="L129" s="470"/>
      <c r="M129" s="470"/>
      <c r="N129" s="470"/>
      <c r="O129" s="470"/>
      <c r="P129" s="517"/>
      <c r="Q129" s="517"/>
      <c r="R129" s="470"/>
      <c r="S129" s="470"/>
      <c r="T129" s="470"/>
      <c r="U129" s="470"/>
      <c r="V129" s="470"/>
      <c r="W129" s="470"/>
      <c r="X129" s="545"/>
    </row>
    <row r="130" spans="5:24">
      <c r="E130" s="470"/>
      <c r="F130" s="470"/>
      <c r="G130" s="470"/>
      <c r="H130" s="470"/>
      <c r="I130" s="470"/>
      <c r="J130" s="470"/>
      <c r="K130" s="470"/>
      <c r="L130" s="470"/>
      <c r="M130" s="470"/>
      <c r="N130" s="470"/>
      <c r="O130" s="470"/>
      <c r="P130" s="517"/>
      <c r="Q130" s="517"/>
      <c r="R130" s="470"/>
      <c r="S130" s="470"/>
      <c r="T130" s="470"/>
      <c r="U130" s="470"/>
      <c r="V130" s="470"/>
      <c r="W130" s="470"/>
      <c r="X130" s="545"/>
    </row>
    <row r="131" spans="5:24">
      <c r="E131" s="470"/>
      <c r="F131" s="470"/>
      <c r="G131" s="470"/>
      <c r="H131" s="470"/>
      <c r="I131" s="470"/>
      <c r="J131" s="470"/>
      <c r="K131" s="470"/>
      <c r="L131" s="470"/>
      <c r="M131" s="470"/>
      <c r="N131" s="470"/>
      <c r="O131" s="470"/>
      <c r="P131" s="517"/>
      <c r="Q131" s="517"/>
      <c r="R131" s="470"/>
      <c r="S131" s="470"/>
      <c r="T131" s="470"/>
      <c r="U131" s="470"/>
      <c r="V131" s="470"/>
      <c r="W131" s="470"/>
      <c r="X131" s="545"/>
    </row>
    <row r="132" spans="5:24">
      <c r="E132" s="470"/>
      <c r="F132" s="470"/>
      <c r="G132" s="470"/>
      <c r="H132" s="470"/>
      <c r="I132" s="470"/>
      <c r="J132" s="470"/>
      <c r="K132" s="470"/>
      <c r="L132" s="470"/>
      <c r="M132" s="470"/>
      <c r="N132" s="470"/>
      <c r="O132" s="470"/>
      <c r="P132" s="517"/>
      <c r="Q132" s="517"/>
      <c r="R132" s="470"/>
      <c r="S132" s="470"/>
      <c r="T132" s="470"/>
      <c r="U132" s="470"/>
      <c r="V132" s="470"/>
      <c r="W132" s="470"/>
      <c r="X132" s="545"/>
    </row>
    <row r="133" spans="5:24">
      <c r="E133" s="470"/>
      <c r="F133" s="470"/>
      <c r="G133" s="470"/>
      <c r="H133" s="470"/>
      <c r="I133" s="470"/>
      <c r="J133" s="470"/>
      <c r="K133" s="470"/>
      <c r="L133" s="470"/>
      <c r="M133" s="470"/>
      <c r="N133" s="470"/>
      <c r="O133" s="470"/>
      <c r="P133" s="517"/>
      <c r="Q133" s="517"/>
      <c r="R133" s="470"/>
      <c r="S133" s="470"/>
      <c r="T133" s="470"/>
      <c r="U133" s="470"/>
      <c r="V133" s="470"/>
      <c r="W133" s="470"/>
      <c r="X133" s="545"/>
    </row>
    <row r="134" spans="5:24">
      <c r="E134" s="470"/>
      <c r="F134" s="470"/>
      <c r="G134" s="470"/>
      <c r="H134" s="470"/>
      <c r="I134" s="470"/>
      <c r="J134" s="470"/>
      <c r="K134" s="470"/>
      <c r="L134" s="470"/>
      <c r="M134" s="470"/>
      <c r="N134" s="470"/>
      <c r="O134" s="470"/>
      <c r="P134" s="517"/>
      <c r="Q134" s="517"/>
      <c r="R134" s="470"/>
      <c r="S134" s="470"/>
      <c r="T134" s="470"/>
      <c r="U134" s="470"/>
      <c r="V134" s="470"/>
      <c r="W134" s="470"/>
      <c r="X134" s="545"/>
    </row>
    <row r="135" spans="5:24">
      <c r="E135" s="470"/>
      <c r="F135" s="470"/>
      <c r="G135" s="470"/>
      <c r="H135" s="470"/>
      <c r="I135" s="470"/>
      <c r="J135" s="470"/>
      <c r="K135" s="470"/>
      <c r="L135" s="470"/>
      <c r="M135" s="470"/>
      <c r="N135" s="470"/>
      <c r="O135" s="470"/>
      <c r="P135" s="517"/>
      <c r="Q135" s="517"/>
      <c r="R135" s="470"/>
      <c r="S135" s="470"/>
      <c r="T135" s="470"/>
      <c r="U135" s="470"/>
      <c r="V135" s="470"/>
      <c r="W135" s="470"/>
      <c r="X135" s="545"/>
    </row>
    <row r="136" spans="5:24">
      <c r="E136" s="470"/>
      <c r="F136" s="470"/>
      <c r="G136" s="470"/>
      <c r="H136" s="470"/>
      <c r="I136" s="470"/>
      <c r="J136" s="470"/>
      <c r="K136" s="470"/>
      <c r="L136" s="470"/>
      <c r="M136" s="470"/>
      <c r="N136" s="470"/>
      <c r="O136" s="470"/>
      <c r="P136" s="517"/>
      <c r="Q136" s="517"/>
      <c r="R136" s="470"/>
      <c r="S136" s="470"/>
      <c r="T136" s="470"/>
      <c r="U136" s="470"/>
      <c r="V136" s="470"/>
      <c r="W136" s="470"/>
      <c r="X136" s="545"/>
    </row>
    <row r="137" spans="5:24">
      <c r="E137" s="470"/>
      <c r="F137" s="470"/>
      <c r="G137" s="470"/>
      <c r="H137" s="470"/>
      <c r="I137" s="470"/>
      <c r="J137" s="470"/>
      <c r="K137" s="470"/>
      <c r="L137" s="470"/>
      <c r="M137" s="470"/>
      <c r="N137" s="470"/>
      <c r="O137" s="470"/>
      <c r="P137" s="517"/>
      <c r="Q137" s="517"/>
      <c r="R137" s="470"/>
      <c r="S137" s="470"/>
      <c r="T137" s="470"/>
      <c r="U137" s="470"/>
      <c r="V137" s="470"/>
      <c r="W137" s="470"/>
      <c r="X137" s="545"/>
    </row>
    <row r="138" spans="5:24">
      <c r="E138" s="470"/>
      <c r="F138" s="470"/>
      <c r="G138" s="470"/>
      <c r="H138" s="470"/>
      <c r="I138" s="470"/>
      <c r="J138" s="470"/>
      <c r="K138" s="470"/>
      <c r="L138" s="470"/>
      <c r="M138" s="470"/>
      <c r="N138" s="470"/>
      <c r="O138" s="470"/>
      <c r="P138" s="517"/>
      <c r="Q138" s="517"/>
      <c r="R138" s="470"/>
      <c r="S138" s="470"/>
      <c r="T138" s="470"/>
      <c r="U138" s="470"/>
      <c r="V138" s="470"/>
      <c r="W138" s="470"/>
      <c r="X138" s="545"/>
    </row>
    <row r="139" spans="5:24">
      <c r="E139" s="470"/>
      <c r="F139" s="470"/>
      <c r="G139" s="470"/>
      <c r="H139" s="470"/>
      <c r="I139" s="470"/>
      <c r="J139" s="470"/>
      <c r="K139" s="470"/>
      <c r="L139" s="470"/>
      <c r="M139" s="470"/>
      <c r="N139" s="470"/>
      <c r="O139" s="470"/>
      <c r="P139" s="517"/>
      <c r="Q139" s="517"/>
      <c r="R139" s="470"/>
      <c r="S139" s="470"/>
      <c r="T139" s="470"/>
      <c r="U139" s="470"/>
      <c r="V139" s="470"/>
      <c r="W139" s="470"/>
      <c r="X139" s="545"/>
    </row>
    <row r="140" spans="5:24">
      <c r="E140" s="470"/>
      <c r="F140" s="470"/>
      <c r="G140" s="470"/>
      <c r="H140" s="470"/>
      <c r="I140" s="470"/>
      <c r="J140" s="470"/>
      <c r="K140" s="470"/>
      <c r="L140" s="470"/>
      <c r="M140" s="470"/>
      <c r="N140" s="470"/>
      <c r="O140" s="470"/>
      <c r="P140" s="517"/>
      <c r="Q140" s="517"/>
      <c r="R140" s="470"/>
      <c r="S140" s="470"/>
      <c r="T140" s="470"/>
      <c r="U140" s="470"/>
      <c r="V140" s="470"/>
      <c r="W140" s="470"/>
      <c r="X140" s="545"/>
    </row>
    <row r="141" spans="5:24">
      <c r="E141" s="470"/>
      <c r="F141" s="470"/>
      <c r="G141" s="470"/>
      <c r="H141" s="470"/>
      <c r="I141" s="470"/>
      <c r="J141" s="470"/>
      <c r="K141" s="470"/>
      <c r="L141" s="470"/>
      <c r="M141" s="470"/>
      <c r="N141" s="470"/>
      <c r="O141" s="470"/>
      <c r="P141" s="517"/>
      <c r="Q141" s="517"/>
      <c r="R141" s="470"/>
      <c r="S141" s="470"/>
      <c r="T141" s="470"/>
      <c r="U141" s="470"/>
      <c r="V141" s="470"/>
      <c r="W141" s="470"/>
      <c r="X141" s="545"/>
    </row>
    <row r="142" spans="5:24">
      <c r="E142" s="470"/>
      <c r="F142" s="470"/>
      <c r="G142" s="470"/>
      <c r="H142" s="470"/>
      <c r="I142" s="470"/>
      <c r="J142" s="470"/>
      <c r="K142" s="470"/>
      <c r="L142" s="470"/>
      <c r="M142" s="470"/>
      <c r="N142" s="470"/>
      <c r="O142" s="470"/>
      <c r="P142" s="517"/>
      <c r="Q142" s="517"/>
      <c r="R142" s="470"/>
      <c r="S142" s="470"/>
      <c r="T142" s="470"/>
      <c r="U142" s="470"/>
      <c r="V142" s="470"/>
      <c r="W142" s="470"/>
      <c r="X142" s="545"/>
    </row>
    <row r="143" spans="5:24">
      <c r="E143" s="470"/>
      <c r="F143" s="470"/>
      <c r="G143" s="470"/>
      <c r="H143" s="470"/>
      <c r="I143" s="470"/>
      <c r="J143" s="470"/>
      <c r="K143" s="470"/>
      <c r="L143" s="470"/>
      <c r="M143" s="470"/>
      <c r="N143" s="470"/>
      <c r="O143" s="470"/>
      <c r="P143" s="517"/>
      <c r="Q143" s="517"/>
      <c r="R143" s="470"/>
      <c r="S143" s="470"/>
      <c r="T143" s="470"/>
      <c r="U143" s="470"/>
      <c r="V143" s="470"/>
      <c r="W143" s="470"/>
      <c r="X143" s="545"/>
    </row>
    <row r="144" spans="5:24">
      <c r="E144" s="470"/>
      <c r="F144" s="470"/>
      <c r="G144" s="470"/>
      <c r="H144" s="470"/>
      <c r="I144" s="470"/>
      <c r="J144" s="470"/>
      <c r="K144" s="470"/>
      <c r="L144" s="470"/>
      <c r="M144" s="470"/>
      <c r="N144" s="470"/>
      <c r="O144" s="470"/>
      <c r="P144" s="517"/>
      <c r="Q144" s="517"/>
      <c r="R144" s="470"/>
      <c r="S144" s="470"/>
      <c r="T144" s="470"/>
      <c r="U144" s="470"/>
      <c r="V144" s="470"/>
      <c r="W144" s="470"/>
      <c r="X144" s="545"/>
    </row>
    <row r="145" spans="5:24">
      <c r="E145" s="470"/>
      <c r="F145" s="470"/>
      <c r="G145" s="470"/>
      <c r="H145" s="470"/>
      <c r="I145" s="470"/>
      <c r="J145" s="470"/>
      <c r="K145" s="470"/>
      <c r="L145" s="470"/>
      <c r="M145" s="470"/>
      <c r="N145" s="470"/>
      <c r="O145" s="470"/>
      <c r="P145" s="517"/>
      <c r="Q145" s="517"/>
      <c r="R145" s="470"/>
      <c r="S145" s="470"/>
      <c r="T145" s="470"/>
      <c r="U145" s="470"/>
      <c r="V145" s="470"/>
      <c r="W145" s="470"/>
      <c r="X145" s="545"/>
    </row>
    <row r="146" spans="5:24">
      <c r="E146" s="470"/>
      <c r="F146" s="470"/>
      <c r="G146" s="470"/>
      <c r="H146" s="470"/>
      <c r="I146" s="470"/>
      <c r="J146" s="470"/>
      <c r="K146" s="470"/>
      <c r="L146" s="470"/>
      <c r="M146" s="470"/>
      <c r="N146" s="470"/>
      <c r="O146" s="470"/>
      <c r="P146" s="517"/>
      <c r="Q146" s="517"/>
      <c r="R146" s="470"/>
      <c r="S146" s="470"/>
      <c r="T146" s="470"/>
      <c r="U146" s="470"/>
      <c r="V146" s="470"/>
      <c r="W146" s="470"/>
      <c r="X146" s="545"/>
    </row>
    <row r="147" spans="5:24">
      <c r="E147" s="470"/>
      <c r="F147" s="470"/>
      <c r="G147" s="470"/>
      <c r="H147" s="470"/>
      <c r="I147" s="470"/>
      <c r="J147" s="470"/>
      <c r="K147" s="470"/>
      <c r="L147" s="470"/>
      <c r="M147" s="470"/>
      <c r="N147" s="470"/>
      <c r="O147" s="470"/>
      <c r="P147" s="517"/>
      <c r="Q147" s="517"/>
      <c r="R147" s="470"/>
      <c r="S147" s="470"/>
      <c r="T147" s="470"/>
      <c r="U147" s="470"/>
      <c r="V147" s="470"/>
      <c r="W147" s="470"/>
      <c r="X147" s="545"/>
    </row>
    <row r="148" spans="5:24">
      <c r="E148" s="470"/>
      <c r="F148" s="470"/>
      <c r="G148" s="470"/>
      <c r="H148" s="470"/>
      <c r="I148" s="470"/>
      <c r="J148" s="470"/>
      <c r="K148" s="470"/>
      <c r="L148" s="470"/>
      <c r="M148" s="470"/>
      <c r="N148" s="470"/>
      <c r="O148" s="470"/>
      <c r="P148" s="517"/>
      <c r="Q148" s="517"/>
      <c r="R148" s="470"/>
      <c r="S148" s="470"/>
    </row>
  </sheetData>
  <mergeCells count="15">
    <mergeCell ref="AJ1:AK1"/>
    <mergeCell ref="AH1:AI1"/>
    <mergeCell ref="B1:F1"/>
    <mergeCell ref="AF1:AG1"/>
    <mergeCell ref="AD1:AE1"/>
    <mergeCell ref="G1:H1"/>
    <mergeCell ref="AB1:AC1"/>
    <mergeCell ref="R1:S1"/>
    <mergeCell ref="P1:Q1"/>
    <mergeCell ref="N1:O1"/>
    <mergeCell ref="I1:M1"/>
    <mergeCell ref="T1:U1"/>
    <mergeCell ref="V1:W1"/>
    <mergeCell ref="X1:Y1"/>
    <mergeCell ref="Z1:AA1"/>
  </mergeCells>
  <phoneticPr fontId="40" type="noConversion"/>
  <printOptions gridLines="1"/>
  <pageMargins left="0.2" right="0.2" top="0.75" bottom="0.75" header="0.3" footer="0.3"/>
  <pageSetup paperSize="17" scale="66" orientation="landscape" r:id="rId1"/>
  <headerFooter>
    <oddHeader xml:space="preserve">&amp;L&amp;"Calibri,Regular"&amp;8 4/2/19&amp;C&amp;"Calibri,Regular"&amp;K000000Stewardship Projections
2019-2020
</oddHeader>
    <oddFooter>&amp;L&amp;A&amp;C&amp;BUSF Health Confidential&amp;B&amp;RPage 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W59"/>
  <sheetViews>
    <sheetView zoomScale="90" zoomScaleNormal="90" workbookViewId="0">
      <pane xSplit="1" ySplit="2" topLeftCell="I3" activePane="bottomRight" state="frozen"/>
      <selection pane="topRight" activeCell="B1" sqref="B1"/>
      <selection pane="bottomLeft" activeCell="A3" sqref="A3"/>
      <selection pane="bottomRight" activeCell="N10" sqref="N10"/>
    </sheetView>
  </sheetViews>
  <sheetFormatPr defaultColWidth="22" defaultRowHeight="12"/>
  <cols>
    <col min="1" max="1" width="32.28515625" style="1" bestFit="1" customWidth="1"/>
    <col min="2" max="2" width="10.140625" style="321" bestFit="1" customWidth="1"/>
    <col min="3" max="3" width="9.7109375" style="321" bestFit="1" customWidth="1"/>
    <col min="4" max="4" width="8.140625" style="321" customWidth="1"/>
    <col min="5" max="5" width="9.7109375" style="321" bestFit="1" customWidth="1"/>
    <col min="6" max="7" width="9.7109375" style="321" customWidth="1"/>
    <col min="8" max="8" width="10.140625" style="321" customWidth="1"/>
    <col min="9" max="9" width="12.85546875" style="321" bestFit="1" customWidth="1"/>
    <col min="10" max="11" width="12.85546875" style="321" customWidth="1"/>
    <col min="12" max="12" width="8.85546875" style="321" customWidth="1"/>
    <col min="13" max="13" width="8.28515625" style="321" customWidth="1"/>
    <col min="14" max="14" width="8.85546875" style="321" customWidth="1"/>
    <col min="15" max="15" width="5.85546875" style="321" customWidth="1"/>
    <col min="16" max="16" width="10.140625" style="321" bestFit="1" customWidth="1"/>
    <col min="17" max="18" width="10.5703125" style="321" bestFit="1" customWidth="1"/>
    <col min="19" max="21" width="9.7109375" style="321" customWidth="1"/>
    <col min="22" max="22" width="8.85546875" style="321" customWidth="1"/>
    <col min="23" max="23" width="5.85546875" style="321" customWidth="1"/>
    <col min="24" max="24" width="9.140625" style="321" customWidth="1"/>
    <col min="25" max="25" width="5.85546875" style="321" customWidth="1"/>
    <col min="26" max="26" width="8.28515625" style="352" bestFit="1" customWidth="1"/>
    <col min="27" max="27" width="9.7109375" style="772" bestFit="1" customWidth="1"/>
    <col min="28" max="28" width="9.140625" style="15" bestFit="1" customWidth="1"/>
    <col min="29" max="29" width="9.7109375" style="15" bestFit="1" customWidth="1"/>
    <col min="30" max="31" width="8.28515625" style="15" bestFit="1" customWidth="1"/>
    <col min="32" max="32" width="9.140625" style="15" bestFit="1" customWidth="1"/>
    <col min="33" max="33" width="8.28515625" style="15" bestFit="1" customWidth="1"/>
    <col min="34" max="34" width="8.28515625" style="321" bestFit="1" customWidth="1"/>
    <col min="35" max="35" width="8.28515625" style="321" customWidth="1"/>
    <col min="36" max="36" width="10.42578125" style="15" customWidth="1"/>
    <col min="37" max="37" width="10.5703125" style="15" bestFit="1" customWidth="1"/>
    <col min="38" max="38" width="10.140625" style="15" bestFit="1" customWidth="1"/>
    <col min="39" max="40" width="10.5703125" style="15" bestFit="1" customWidth="1"/>
    <col min="41" max="41" width="10" style="15" bestFit="1" customWidth="1"/>
    <col min="42" max="42" width="8.5703125" style="1" bestFit="1" customWidth="1"/>
    <col min="43" max="43" width="9.140625" style="1" bestFit="1" customWidth="1"/>
    <col min="44" max="44" width="9.7109375" style="1" bestFit="1" customWidth="1"/>
    <col min="45" max="45" width="5.5703125" style="1" bestFit="1" customWidth="1"/>
    <col min="46" max="46" width="8" style="1" bestFit="1" customWidth="1"/>
    <col min="47" max="47" width="5.42578125" style="1" bestFit="1" customWidth="1"/>
    <col min="48" max="48" width="7.85546875" style="1" bestFit="1" customWidth="1"/>
    <col min="49" max="49" width="8.28515625" style="1" bestFit="1" customWidth="1"/>
    <col min="50" max="16384" width="22" style="1"/>
  </cols>
  <sheetData>
    <row r="1" spans="1:49" s="295" customFormat="1" ht="45.75" customHeight="1">
      <c r="A1" s="319"/>
      <c r="B1" s="914" t="s">
        <v>123</v>
      </c>
      <c r="C1" s="914"/>
      <c r="D1" s="914"/>
      <c r="E1" s="914"/>
      <c r="F1" s="914"/>
      <c r="G1" s="914"/>
      <c r="H1" s="914"/>
      <c r="I1" s="914"/>
      <c r="J1" s="924" t="s">
        <v>387</v>
      </c>
      <c r="K1" s="951"/>
      <c r="L1" s="924" t="s">
        <v>380</v>
      </c>
      <c r="M1" s="951"/>
      <c r="N1" s="924" t="s">
        <v>385</v>
      </c>
      <c r="O1" s="934"/>
      <c r="P1" s="914" t="s">
        <v>386</v>
      </c>
      <c r="Q1" s="914"/>
      <c r="R1" s="924" t="s">
        <v>384</v>
      </c>
      <c r="S1" s="934"/>
      <c r="T1" s="924" t="s">
        <v>383</v>
      </c>
      <c r="U1" s="934"/>
      <c r="V1" s="891" t="s">
        <v>363</v>
      </c>
      <c r="W1" s="891"/>
      <c r="X1" s="926" t="s">
        <v>382</v>
      </c>
      <c r="Y1" s="927"/>
      <c r="Z1" s="891" t="s">
        <v>92</v>
      </c>
      <c r="AA1" s="885"/>
      <c r="AB1" s="891" t="s">
        <v>90</v>
      </c>
      <c r="AC1" s="885"/>
      <c r="AD1" s="887" t="s">
        <v>134</v>
      </c>
      <c r="AE1" s="885"/>
      <c r="AF1" s="910" t="s">
        <v>247</v>
      </c>
      <c r="AG1" s="911"/>
      <c r="AH1" s="887" t="s">
        <v>268</v>
      </c>
      <c r="AI1" s="887"/>
      <c r="AJ1" s="886" t="s">
        <v>98</v>
      </c>
      <c r="AK1" s="887"/>
      <c r="AL1" s="949" t="s">
        <v>354</v>
      </c>
      <c r="AM1" s="950"/>
      <c r="AN1" s="952" t="s">
        <v>131</v>
      </c>
      <c r="AO1" s="953"/>
      <c r="AP1" s="932" t="s">
        <v>244</v>
      </c>
      <c r="AQ1" s="933"/>
      <c r="AR1" s="937" t="s">
        <v>180</v>
      </c>
      <c r="AS1" s="938"/>
      <c r="AT1" s="894" t="s">
        <v>204</v>
      </c>
      <c r="AU1" s="894"/>
      <c r="AV1" s="884" t="s">
        <v>207</v>
      </c>
      <c r="AW1" s="885"/>
    </row>
    <row r="2" spans="1:49" s="331" customFormat="1" ht="33" customHeight="1">
      <c r="A2" s="880"/>
      <c r="B2" s="369" t="s">
        <v>4</v>
      </c>
      <c r="C2" s="369" t="s">
        <v>375</v>
      </c>
      <c r="D2" s="369" t="s">
        <v>60</v>
      </c>
      <c r="E2" s="369" t="s">
        <v>377</v>
      </c>
      <c r="F2" s="369" t="s">
        <v>374</v>
      </c>
      <c r="G2" s="369" t="s">
        <v>379</v>
      </c>
      <c r="H2" s="369" t="s">
        <v>376</v>
      </c>
      <c r="I2" s="369" t="s">
        <v>378</v>
      </c>
      <c r="J2" s="369"/>
      <c r="K2" s="369"/>
      <c r="L2" s="369" t="s">
        <v>4</v>
      </c>
      <c r="M2" s="369" t="s">
        <v>93</v>
      </c>
      <c r="N2" s="369" t="s">
        <v>4</v>
      </c>
      <c r="O2" s="369" t="s">
        <v>93</v>
      </c>
      <c r="P2" s="369" t="s">
        <v>4</v>
      </c>
      <c r="Q2" s="369" t="s">
        <v>93</v>
      </c>
      <c r="R2" s="369" t="s">
        <v>4</v>
      </c>
      <c r="S2" s="369" t="s">
        <v>93</v>
      </c>
      <c r="T2" s="369"/>
      <c r="U2" s="369"/>
      <c r="V2" s="462" t="s">
        <v>4</v>
      </c>
      <c r="W2" s="462" t="s">
        <v>93</v>
      </c>
      <c r="X2" s="462" t="s">
        <v>4</v>
      </c>
      <c r="Y2" s="462" t="s">
        <v>93</v>
      </c>
      <c r="Z2" s="462" t="s">
        <v>4</v>
      </c>
      <c r="AA2" s="754" t="s">
        <v>93</v>
      </c>
      <c r="AB2" s="369" t="s">
        <v>4</v>
      </c>
      <c r="AC2" s="369" t="s">
        <v>93</v>
      </c>
      <c r="AD2" s="369" t="s">
        <v>4</v>
      </c>
      <c r="AE2" s="369" t="s">
        <v>94</v>
      </c>
      <c r="AF2" s="369" t="s">
        <v>4</v>
      </c>
      <c r="AG2" s="369" t="s">
        <v>94</v>
      </c>
      <c r="AH2" s="369" t="s">
        <v>4</v>
      </c>
      <c r="AI2" s="369" t="s">
        <v>94</v>
      </c>
      <c r="AJ2" s="797" t="s">
        <v>24</v>
      </c>
      <c r="AK2" s="797" t="s">
        <v>93</v>
      </c>
      <c r="AL2" s="980" t="s">
        <v>4</v>
      </c>
      <c r="AM2" s="980" t="s">
        <v>94</v>
      </c>
      <c r="AN2" s="981" t="s">
        <v>4</v>
      </c>
      <c r="AO2" s="981" t="s">
        <v>94</v>
      </c>
      <c r="AP2" s="640" t="s">
        <v>4</v>
      </c>
      <c r="AQ2" s="641" t="s">
        <v>93</v>
      </c>
      <c r="AR2" s="982" t="s">
        <v>4</v>
      </c>
      <c r="AS2" s="982" t="s">
        <v>94</v>
      </c>
      <c r="AT2" s="983" t="s">
        <v>259</v>
      </c>
      <c r="AU2" s="983" t="s">
        <v>260</v>
      </c>
      <c r="AV2" s="984" t="s">
        <v>259</v>
      </c>
      <c r="AW2" s="984" t="s">
        <v>260</v>
      </c>
    </row>
    <row r="3" spans="1:49" s="318" customFormat="1">
      <c r="A3" s="449" t="s">
        <v>23</v>
      </c>
      <c r="B3" s="369"/>
      <c r="C3" s="369"/>
      <c r="D3" s="369"/>
      <c r="E3" s="369"/>
      <c r="F3" s="369"/>
      <c r="G3" s="369"/>
      <c r="H3" s="369"/>
      <c r="I3" s="369"/>
      <c r="J3" s="369"/>
      <c r="K3" s="369"/>
      <c r="L3" s="369"/>
      <c r="M3" s="369"/>
      <c r="N3" s="369"/>
      <c r="O3" s="369"/>
      <c r="P3" s="369"/>
      <c r="Q3" s="369"/>
      <c r="R3" s="369">
        <f>-18612.7</f>
        <v>-18612.7</v>
      </c>
      <c r="S3" s="369">
        <v>18612.7</v>
      </c>
      <c r="T3" s="369"/>
      <c r="U3" s="369"/>
      <c r="V3" s="462"/>
      <c r="W3" s="462"/>
      <c r="X3" s="462"/>
      <c r="Y3" s="462"/>
      <c r="Z3" s="462"/>
      <c r="AA3" s="754"/>
      <c r="AB3" s="369"/>
      <c r="AC3" s="369"/>
      <c r="AD3" s="369"/>
      <c r="AE3" s="369"/>
      <c r="AF3" s="369"/>
      <c r="AG3" s="369"/>
      <c r="AH3" s="369"/>
      <c r="AI3" s="369"/>
      <c r="AJ3" s="403"/>
      <c r="AK3" s="403"/>
      <c r="AL3" s="639"/>
      <c r="AM3" s="639"/>
      <c r="AN3" s="511">
        <f>R3</f>
        <v>-18612.7</v>
      </c>
      <c r="AO3" s="511">
        <f>S3</f>
        <v>18612.7</v>
      </c>
      <c r="AP3" s="640"/>
      <c r="AQ3" s="641"/>
      <c r="AR3" s="509"/>
      <c r="AS3" s="509"/>
      <c r="AT3" s="805"/>
      <c r="AU3" s="805"/>
      <c r="AV3" s="799"/>
      <c r="AW3" s="799"/>
    </row>
    <row r="4" spans="1:49">
      <c r="A4" s="629" t="s">
        <v>146</v>
      </c>
      <c r="B4" s="629"/>
      <c r="C4" s="629"/>
      <c r="D4" s="629"/>
      <c r="E4" s="629"/>
      <c r="F4" s="629"/>
      <c r="G4" s="629"/>
      <c r="H4" s="629"/>
      <c r="I4" s="629"/>
      <c r="J4" s="629"/>
      <c r="K4" s="629"/>
      <c r="L4" s="629"/>
      <c r="M4" s="629"/>
      <c r="N4" s="629"/>
      <c r="O4" s="629"/>
      <c r="P4" s="629"/>
      <c r="Q4" s="629"/>
      <c r="R4" s="629"/>
      <c r="S4" s="629"/>
      <c r="T4" s="629"/>
      <c r="U4" s="629"/>
      <c r="V4" s="629"/>
      <c r="W4" s="629"/>
      <c r="X4" s="629"/>
      <c r="Y4" s="629"/>
      <c r="Z4" s="629"/>
      <c r="AA4" s="767"/>
      <c r="AB4" s="629"/>
      <c r="AC4" s="629"/>
      <c r="AD4" s="629"/>
      <c r="AE4" s="629"/>
      <c r="AF4" s="629"/>
      <c r="AG4" s="629"/>
      <c r="AH4" s="629"/>
      <c r="AI4" s="629"/>
      <c r="AJ4" s="629"/>
      <c r="AK4" s="629"/>
      <c r="AL4" s="629"/>
      <c r="AM4" s="629"/>
      <c r="AN4" s="629"/>
      <c r="AO4" s="629"/>
      <c r="AP4" s="629"/>
      <c r="AQ4" s="629"/>
      <c r="AR4" s="509"/>
      <c r="AS4" s="509"/>
      <c r="AT4" s="805"/>
      <c r="AU4" s="805"/>
      <c r="AV4" s="799"/>
      <c r="AW4" s="799"/>
    </row>
    <row r="5" spans="1:49" s="477" customFormat="1">
      <c r="A5" s="477" t="s">
        <v>372</v>
      </c>
      <c r="AJ5" s="552"/>
      <c r="AK5" s="552"/>
      <c r="AL5" s="516"/>
      <c r="AM5" s="516"/>
      <c r="AN5" s="511"/>
      <c r="AO5" s="511">
        <f>S5</f>
        <v>0</v>
      </c>
      <c r="AP5" s="567"/>
      <c r="AQ5" s="567"/>
      <c r="AR5" s="509"/>
      <c r="AS5" s="509"/>
      <c r="AT5" s="805"/>
      <c r="AU5" s="805"/>
      <c r="AV5" s="799"/>
      <c r="AW5" s="799"/>
    </row>
    <row r="6" spans="1:49">
      <c r="A6" s="477" t="s">
        <v>154</v>
      </c>
      <c r="B6" s="399"/>
      <c r="C6" s="399"/>
      <c r="D6" s="399"/>
      <c r="E6" s="399"/>
      <c r="F6" s="399"/>
      <c r="G6" s="399"/>
      <c r="H6" s="399"/>
      <c r="I6" s="399"/>
      <c r="J6" s="399"/>
      <c r="K6" s="399"/>
      <c r="L6" s="399"/>
      <c r="M6" s="399"/>
      <c r="N6" s="399"/>
      <c r="O6" s="612"/>
      <c r="P6" s="399"/>
      <c r="Q6" s="399"/>
      <c r="R6" s="399"/>
      <c r="S6" s="399"/>
      <c r="T6" s="399"/>
      <c r="U6" s="399"/>
      <c r="V6" s="399"/>
      <c r="W6" s="399"/>
      <c r="X6" s="399"/>
      <c r="Y6" s="399"/>
      <c r="Z6" s="552">
        <v>600</v>
      </c>
      <c r="AA6" s="750"/>
      <c r="AB6" s="552">
        <v>500</v>
      </c>
      <c r="AC6" s="399"/>
      <c r="AD6" s="703">
        <v>300</v>
      </c>
      <c r="AE6" s="399"/>
      <c r="AF6" s="703">
        <v>250</v>
      </c>
      <c r="AG6" s="399"/>
      <c r="AH6" s="552">
        <v>150</v>
      </c>
      <c r="AI6" s="399"/>
      <c r="AJ6" s="552">
        <f>AH6+AB6+Z6</f>
        <v>1250</v>
      </c>
      <c r="AK6" s="552">
        <f>AI6+AC6+AA6</f>
        <v>0</v>
      </c>
      <c r="AL6" s="516">
        <f>AD6+AF6</f>
        <v>550</v>
      </c>
      <c r="AM6" s="516">
        <f>AE6+AG6</f>
        <v>0</v>
      </c>
      <c r="AN6" s="511"/>
      <c r="AO6" s="511"/>
      <c r="AP6" s="567"/>
      <c r="AQ6" s="567"/>
      <c r="AR6" s="509"/>
      <c r="AS6" s="509"/>
      <c r="AT6" s="805"/>
      <c r="AU6" s="805"/>
      <c r="AV6" s="799"/>
      <c r="AW6" s="799"/>
    </row>
    <row r="7" spans="1:49">
      <c r="A7" s="477" t="s">
        <v>140</v>
      </c>
      <c r="B7" s="399"/>
      <c r="C7" s="399"/>
      <c r="D7" s="399"/>
      <c r="E7" s="399"/>
      <c r="F7" s="399"/>
      <c r="G7" s="399"/>
      <c r="H7" s="399"/>
      <c r="I7" s="399"/>
      <c r="J7" s="399"/>
      <c r="K7" s="399"/>
      <c r="L7" s="399"/>
      <c r="M7" s="399"/>
      <c r="N7" s="399"/>
      <c r="O7" s="612"/>
      <c r="P7" s="399"/>
      <c r="Q7" s="399"/>
      <c r="R7" s="399"/>
      <c r="S7" s="399"/>
      <c r="T7" s="399"/>
      <c r="U7" s="399"/>
      <c r="V7" s="399"/>
      <c r="W7" s="399"/>
      <c r="X7" s="399"/>
      <c r="Y7" s="399"/>
      <c r="Z7" s="552">
        <v>310.95999999999998</v>
      </c>
      <c r="AA7" s="750"/>
      <c r="AB7" s="552">
        <v>300</v>
      </c>
      <c r="AC7" s="399"/>
      <c r="AD7" s="703">
        <v>242.96</v>
      </c>
      <c r="AE7" s="399"/>
      <c r="AF7" s="703"/>
      <c r="AG7" s="399"/>
      <c r="AH7" s="399"/>
      <c r="AI7" s="399"/>
      <c r="AJ7" s="552">
        <f>AB7+Z7</f>
        <v>610.96</v>
      </c>
      <c r="AK7" s="552">
        <f>AC7+AA7</f>
        <v>0</v>
      </c>
      <c r="AL7" s="516">
        <f>AD7+AF7</f>
        <v>242.96</v>
      </c>
      <c r="AM7" s="516">
        <f>AE7</f>
        <v>0</v>
      </c>
      <c r="AN7" s="511"/>
      <c r="AO7" s="511"/>
      <c r="AP7" s="567"/>
      <c r="AQ7" s="567"/>
      <c r="AR7" s="509"/>
      <c r="AS7" s="509"/>
      <c r="AT7" s="805"/>
      <c r="AU7" s="805"/>
      <c r="AV7" s="799"/>
      <c r="AW7" s="799"/>
    </row>
    <row r="8" spans="1:49">
      <c r="A8" s="477" t="s">
        <v>140</v>
      </c>
      <c r="B8" s="399"/>
      <c r="C8" s="399"/>
      <c r="D8" s="399"/>
      <c r="E8" s="399"/>
      <c r="F8" s="399"/>
      <c r="G8" s="399"/>
      <c r="H8" s="399"/>
      <c r="I8" s="399"/>
      <c r="J8" s="399"/>
      <c r="K8" s="399"/>
      <c r="L8" s="399"/>
      <c r="M8" s="399"/>
      <c r="N8" s="399"/>
      <c r="O8" s="612"/>
      <c r="P8" s="399"/>
      <c r="Q8" s="399"/>
      <c r="R8" s="399"/>
      <c r="S8" s="399"/>
      <c r="T8" s="399"/>
      <c r="U8" s="399"/>
      <c r="V8" s="399"/>
      <c r="W8" s="399"/>
      <c r="X8" s="399"/>
      <c r="Y8" s="399"/>
      <c r="Z8" s="552"/>
      <c r="AA8" s="750"/>
      <c r="AB8" s="807">
        <v>203.96</v>
      </c>
      <c r="AC8" s="399"/>
      <c r="AD8" s="703"/>
      <c r="AE8" s="399"/>
      <c r="AF8" s="703"/>
      <c r="AG8" s="399"/>
      <c r="AH8" s="399"/>
      <c r="AI8" s="399"/>
      <c r="AJ8" s="552"/>
      <c r="AK8" s="552"/>
      <c r="AL8" s="516"/>
      <c r="AM8" s="516"/>
      <c r="AN8" s="511"/>
      <c r="AO8" s="511"/>
      <c r="AP8" s="567"/>
      <c r="AQ8" s="567"/>
      <c r="AR8" s="509"/>
      <c r="AS8" s="509"/>
      <c r="AT8" s="805"/>
      <c r="AU8" s="805"/>
      <c r="AV8" s="871">
        <f>AB8</f>
        <v>203.96</v>
      </c>
      <c r="AW8" s="799">
        <f>AC8</f>
        <v>0</v>
      </c>
    </row>
    <row r="9" spans="1:49">
      <c r="A9" s="477" t="s">
        <v>139</v>
      </c>
      <c r="B9" s="399"/>
      <c r="C9" s="399"/>
      <c r="D9" s="399"/>
      <c r="E9" s="399"/>
      <c r="F9" s="399"/>
      <c r="G9" s="399"/>
      <c r="H9" s="399"/>
      <c r="I9" s="399"/>
      <c r="J9" s="399"/>
      <c r="K9" s="399"/>
      <c r="L9" s="399"/>
      <c r="M9" s="399"/>
      <c r="N9" s="399"/>
      <c r="O9" s="612"/>
      <c r="P9" s="399"/>
      <c r="Q9" s="399"/>
      <c r="R9" s="399"/>
      <c r="S9" s="399"/>
      <c r="T9" s="399"/>
      <c r="U9" s="399"/>
      <c r="V9" s="399"/>
      <c r="W9" s="399"/>
      <c r="X9" s="399"/>
      <c r="Y9" s="399"/>
      <c r="Z9" s="552">
        <v>400</v>
      </c>
      <c r="AA9" s="750"/>
      <c r="AB9" s="552">
        <f>300*3</f>
        <v>900</v>
      </c>
      <c r="AC9" s="399"/>
      <c r="AD9" s="703">
        <v>640</v>
      </c>
      <c r="AE9" s="399"/>
      <c r="AF9" s="703"/>
      <c r="AG9" s="399"/>
      <c r="AH9" s="399"/>
      <c r="AI9" s="399"/>
      <c r="AJ9" s="552">
        <f>AB9+Z9</f>
        <v>1300</v>
      </c>
      <c r="AK9" s="552">
        <f>AC9+AA9</f>
        <v>0</v>
      </c>
      <c r="AL9" s="516">
        <f>AD9+AF9</f>
        <v>640</v>
      </c>
      <c r="AM9" s="516">
        <f>AE9</f>
        <v>0</v>
      </c>
      <c r="AN9" s="511"/>
      <c r="AO9" s="511"/>
      <c r="AP9" s="567"/>
      <c r="AQ9" s="567"/>
      <c r="AR9" s="509"/>
      <c r="AS9" s="509"/>
      <c r="AT9" s="805"/>
      <c r="AU9" s="805"/>
      <c r="AV9" s="799"/>
      <c r="AW9" s="799"/>
    </row>
    <row r="10" spans="1:49">
      <c r="A10" s="477" t="s">
        <v>138</v>
      </c>
      <c r="B10" s="399"/>
      <c r="C10" s="399"/>
      <c r="D10" s="399"/>
      <c r="E10" s="399"/>
      <c r="F10" s="399"/>
      <c r="G10" s="399"/>
      <c r="H10" s="399"/>
      <c r="I10" s="399"/>
      <c r="J10" s="399"/>
      <c r="K10" s="399"/>
      <c r="L10" s="399"/>
      <c r="M10" s="399"/>
      <c r="N10" s="399" t="s">
        <v>388</v>
      </c>
      <c r="O10" s="612"/>
      <c r="P10" s="399"/>
      <c r="Q10" s="399"/>
      <c r="R10" s="399"/>
      <c r="S10" s="399"/>
      <c r="T10" s="399"/>
      <c r="U10" s="399"/>
      <c r="V10" s="399"/>
      <c r="W10" s="399"/>
      <c r="X10" s="399"/>
      <c r="Y10" s="399"/>
      <c r="Z10" s="514"/>
      <c r="AA10" s="750"/>
      <c r="AC10" s="399"/>
      <c r="AD10" s="399"/>
      <c r="AE10" s="399"/>
      <c r="AF10" s="399"/>
      <c r="AG10" s="399"/>
      <c r="AH10" s="399"/>
      <c r="AI10" s="399"/>
      <c r="AJ10" s="552"/>
      <c r="AK10" s="552"/>
      <c r="AL10" s="516"/>
      <c r="AM10" s="516"/>
      <c r="AN10" s="511"/>
      <c r="AO10" s="511"/>
      <c r="AP10" s="567"/>
      <c r="AQ10" s="567"/>
      <c r="AR10" s="509"/>
      <c r="AS10" s="509"/>
      <c r="AT10" s="805"/>
      <c r="AU10" s="805"/>
      <c r="AV10" s="799"/>
      <c r="AW10" s="799"/>
    </row>
    <row r="11" spans="1:49">
      <c r="A11" s="477" t="s">
        <v>141</v>
      </c>
      <c r="B11" s="399"/>
      <c r="C11" s="399"/>
      <c r="D11" s="399"/>
      <c r="E11" s="399"/>
      <c r="F11" s="399"/>
      <c r="G11" s="399"/>
      <c r="H11" s="399"/>
      <c r="I11" s="399"/>
      <c r="J11" s="399"/>
      <c r="K11" s="399"/>
      <c r="L11" s="399"/>
      <c r="M11" s="399"/>
      <c r="N11" s="399"/>
      <c r="O11" s="612"/>
      <c r="P11" s="399"/>
      <c r="Q11" s="399"/>
      <c r="R11" s="399"/>
      <c r="S11" s="399"/>
      <c r="T11" s="399"/>
      <c r="U11" s="399"/>
      <c r="V11" s="399"/>
      <c r="W11" s="399"/>
      <c r="X11" s="399"/>
      <c r="Y11" s="399"/>
      <c r="Z11" s="552">
        <v>90</v>
      </c>
      <c r="AA11" s="750"/>
      <c r="AB11" s="806">
        <v>150</v>
      </c>
      <c r="AC11" s="399"/>
      <c r="AD11" s="703"/>
      <c r="AE11" s="399"/>
      <c r="AF11" s="703"/>
      <c r="AG11" s="399"/>
      <c r="AH11" s="399"/>
      <c r="AI11" s="399"/>
      <c r="AJ11" s="552">
        <f>Z11</f>
        <v>90</v>
      </c>
      <c r="AK11" s="552">
        <f>AE11+AA11+AC11</f>
        <v>0</v>
      </c>
      <c r="AL11" s="516">
        <f>AD11+AF11</f>
        <v>0</v>
      </c>
      <c r="AM11" s="516"/>
      <c r="AN11" s="511"/>
      <c r="AO11" s="511"/>
      <c r="AP11" s="567"/>
      <c r="AQ11" s="567"/>
      <c r="AR11" s="509"/>
      <c r="AS11" s="509"/>
      <c r="AT11" s="805"/>
      <c r="AU11" s="805"/>
      <c r="AV11" s="872">
        <f>AB11</f>
        <v>150</v>
      </c>
      <c r="AW11" s="872">
        <f>AC11</f>
        <v>0</v>
      </c>
    </row>
    <row r="12" spans="1:49">
      <c r="A12" s="477" t="s">
        <v>9</v>
      </c>
      <c r="B12" s="371">
        <v>1075.3</v>
      </c>
      <c r="C12" s="399">
        <v>-1075.3</v>
      </c>
      <c r="D12" s="399"/>
      <c r="E12" s="399"/>
      <c r="F12" s="399"/>
      <c r="G12" s="399"/>
      <c r="H12" s="399"/>
      <c r="I12" s="399"/>
      <c r="J12" s="645"/>
      <c r="K12" s="645"/>
      <c r="L12" s="645"/>
      <c r="M12" s="645"/>
      <c r="N12" s="399"/>
      <c r="O12" s="612"/>
      <c r="P12" s="399"/>
      <c r="Q12" s="399"/>
      <c r="R12" s="399"/>
      <c r="S12" s="399"/>
      <c r="T12" s="399"/>
      <c r="U12" s="399"/>
      <c r="V12" s="399"/>
      <c r="W12" s="399"/>
      <c r="X12" s="399"/>
      <c r="Y12" s="399"/>
      <c r="Z12" s="552"/>
      <c r="AA12" s="750"/>
      <c r="AB12" s="552">
        <v>400</v>
      </c>
      <c r="AC12" s="399"/>
      <c r="AD12" s="703"/>
      <c r="AE12" s="399"/>
      <c r="AF12" s="703"/>
      <c r="AG12" s="399"/>
      <c r="AH12" s="399"/>
      <c r="AI12" s="399"/>
      <c r="AJ12" s="552">
        <f>AB12</f>
        <v>400</v>
      </c>
      <c r="AK12" s="552">
        <f>AC12</f>
        <v>0</v>
      </c>
      <c r="AL12" s="516">
        <f>B12</f>
        <v>1075.3</v>
      </c>
      <c r="AM12" s="516">
        <f>C12</f>
        <v>-1075.3</v>
      </c>
      <c r="AN12" s="511"/>
      <c r="AO12" s="511"/>
      <c r="AP12" s="567"/>
      <c r="AQ12" s="567"/>
      <c r="AR12" s="509"/>
      <c r="AS12" s="509"/>
      <c r="AT12" s="805"/>
      <c r="AU12" s="805"/>
      <c r="AV12" s="799"/>
      <c r="AW12" s="799"/>
    </row>
    <row r="13" spans="1:49">
      <c r="A13" s="477" t="s">
        <v>9</v>
      </c>
      <c r="B13" s="552">
        <f>400+183</f>
        <v>583</v>
      </c>
      <c r="C13" s="399">
        <v>-357.75</v>
      </c>
      <c r="D13" s="399"/>
      <c r="E13" s="399">
        <v>-25</v>
      </c>
      <c r="F13" s="399"/>
      <c r="G13" s="399"/>
      <c r="H13" s="399"/>
      <c r="I13" s="399"/>
      <c r="J13" s="645"/>
      <c r="K13" s="645"/>
      <c r="L13" s="645"/>
      <c r="M13" s="645"/>
      <c r="N13" s="802"/>
      <c r="O13" s="399"/>
      <c r="R13" s="492"/>
      <c r="S13" s="399"/>
      <c r="T13" s="371">
        <v>100</v>
      </c>
      <c r="U13" s="399"/>
      <c r="V13" s="552">
        <v>1800</v>
      </c>
      <c r="W13" s="399"/>
      <c r="X13" s="542">
        <v>4000</v>
      </c>
      <c r="Y13" s="399"/>
      <c r="Z13" s="552">
        <v>500</v>
      </c>
      <c r="AA13" s="750"/>
      <c r="AB13" s="552">
        <v>600</v>
      </c>
      <c r="AC13" s="399"/>
      <c r="AD13" s="703">
        <v>750</v>
      </c>
      <c r="AE13" s="399"/>
      <c r="AF13" s="703">
        <v>1500</v>
      </c>
      <c r="AG13" s="399"/>
      <c r="AH13" s="802"/>
      <c r="AI13" s="399"/>
      <c r="AJ13" s="552">
        <f>AB13+Z13+V13+AH13+N13+B13</f>
        <v>3483</v>
      </c>
      <c r="AK13" s="552">
        <f>AC13+AA13+W13+AI13+C13+E13</f>
        <v>-382.75</v>
      </c>
      <c r="AL13" s="542">
        <f>T13+AD13+AF13+X13</f>
        <v>6350</v>
      </c>
      <c r="AM13" s="542">
        <f>AG13+AE13+U13</f>
        <v>0</v>
      </c>
      <c r="AN13" s="511"/>
      <c r="AO13" s="511"/>
      <c r="AP13" s="567"/>
      <c r="AQ13" s="567"/>
      <c r="AR13" s="509"/>
      <c r="AS13" s="509"/>
      <c r="AT13" s="805"/>
      <c r="AU13" s="805"/>
      <c r="AV13" s="799"/>
      <c r="AW13" s="799"/>
    </row>
    <row r="14" spans="1:49">
      <c r="A14" s="477" t="s">
        <v>9</v>
      </c>
      <c r="B14" s="567">
        <v>1500</v>
      </c>
      <c r="D14" s="399"/>
      <c r="E14" s="399">
        <v>-1500</v>
      </c>
      <c r="F14" s="399"/>
      <c r="G14" s="399"/>
      <c r="H14" s="399"/>
      <c r="I14" s="399"/>
      <c r="J14" s="645"/>
      <c r="K14" s="645"/>
      <c r="L14" s="645"/>
      <c r="M14" s="645"/>
      <c r="N14" s="802"/>
      <c r="O14" s="399"/>
      <c r="R14" s="567">
        <v>8319.5</v>
      </c>
      <c r="S14" s="399"/>
      <c r="T14" s="371">
        <v>4765.6000000000004</v>
      </c>
      <c r="U14" s="399"/>
      <c r="V14" s="552"/>
      <c r="W14" s="399"/>
      <c r="X14" s="542"/>
      <c r="Y14" s="399"/>
      <c r="Z14" s="552"/>
      <c r="AA14" s="750"/>
      <c r="AB14" s="552"/>
      <c r="AC14" s="399"/>
      <c r="AD14" s="552">
        <v>50</v>
      </c>
      <c r="AE14" s="399"/>
      <c r="AF14" s="703"/>
      <c r="AG14" s="399"/>
      <c r="AH14" s="802"/>
      <c r="AI14" s="399"/>
      <c r="AJ14" s="552">
        <f>AD14</f>
        <v>50</v>
      </c>
      <c r="AK14" s="552">
        <f>AE14</f>
        <v>0</v>
      </c>
      <c r="AL14" s="542">
        <f>T14</f>
        <v>4765.6000000000004</v>
      </c>
      <c r="AM14" s="542">
        <f>U14+AF14</f>
        <v>0</v>
      </c>
      <c r="AN14" s="511"/>
      <c r="AO14" s="511"/>
      <c r="AP14" s="567">
        <f>B14+R14</f>
        <v>9819.5</v>
      </c>
      <c r="AQ14" s="567">
        <f>E14+S14</f>
        <v>-1500</v>
      </c>
      <c r="AR14" s="509"/>
      <c r="AS14" s="509"/>
      <c r="AT14" s="805"/>
      <c r="AU14" s="805"/>
      <c r="AV14" s="799"/>
      <c r="AW14" s="799"/>
    </row>
    <row r="15" spans="1:49">
      <c r="A15" s="477" t="s">
        <v>215</v>
      </c>
      <c r="B15" s="399"/>
      <c r="C15" s="399"/>
      <c r="D15" s="399"/>
      <c r="E15" s="399"/>
      <c r="F15" s="399"/>
      <c r="G15" s="399"/>
      <c r="H15" s="399"/>
      <c r="I15" s="399"/>
      <c r="J15" s="399"/>
      <c r="K15" s="399"/>
      <c r="L15" s="399"/>
      <c r="M15" s="399"/>
      <c r="N15" s="725"/>
      <c r="O15" s="612"/>
      <c r="P15" s="399"/>
      <c r="Q15" s="399"/>
      <c r="R15" s="399"/>
      <c r="S15" s="399"/>
      <c r="T15" s="399"/>
      <c r="U15" s="399"/>
      <c r="V15" s="399"/>
      <c r="W15" s="399"/>
      <c r="X15" s="399"/>
      <c r="Y15" s="399"/>
      <c r="Z15" s="552">
        <v>150</v>
      </c>
      <c r="AA15" s="750"/>
      <c r="AB15" s="552">
        <v>50</v>
      </c>
      <c r="AC15" s="399"/>
      <c r="AD15" s="703">
        <v>150</v>
      </c>
      <c r="AE15" s="399"/>
      <c r="AF15" s="703">
        <v>100</v>
      </c>
      <c r="AG15" s="399"/>
      <c r="AH15" s="399"/>
      <c r="AI15" s="399"/>
      <c r="AJ15" s="552">
        <f>AB15+Z15</f>
        <v>200</v>
      </c>
      <c r="AK15" s="552">
        <f>AC15+AA15</f>
        <v>0</v>
      </c>
      <c r="AL15" s="542">
        <f>AD15+AF15</f>
        <v>250</v>
      </c>
      <c r="AM15" s="542">
        <f>AG15+AE15</f>
        <v>0</v>
      </c>
      <c r="AN15" s="511"/>
      <c r="AO15" s="511"/>
      <c r="AP15" s="567"/>
      <c r="AQ15" s="567"/>
      <c r="AR15" s="509"/>
      <c r="AS15" s="509"/>
      <c r="AT15" s="805"/>
      <c r="AU15" s="805"/>
      <c r="AV15" s="799"/>
      <c r="AW15" s="799"/>
    </row>
    <row r="16" spans="1:49">
      <c r="A16" s="629" t="s">
        <v>147</v>
      </c>
      <c r="B16" s="630"/>
      <c r="C16" s="630"/>
      <c r="D16" s="630"/>
      <c r="E16" s="630"/>
      <c r="F16" s="630"/>
      <c r="G16" s="630"/>
      <c r="H16" s="630"/>
      <c r="I16" s="630"/>
      <c r="J16" s="630"/>
      <c r="K16" s="630"/>
      <c r="L16" s="630"/>
      <c r="M16" s="630"/>
      <c r="N16" s="630"/>
      <c r="O16" s="631"/>
      <c r="P16" s="630"/>
      <c r="Q16" s="630"/>
      <c r="R16" s="630"/>
      <c r="S16" s="630"/>
      <c r="T16" s="630"/>
      <c r="U16" s="630"/>
      <c r="V16" s="630"/>
      <c r="W16" s="630"/>
      <c r="X16" s="630"/>
      <c r="Y16" s="630"/>
      <c r="Z16" s="630"/>
      <c r="AA16" s="768"/>
      <c r="AB16" s="630"/>
      <c r="AC16" s="630"/>
      <c r="AD16" s="630"/>
      <c r="AE16" s="630"/>
      <c r="AF16" s="630"/>
      <c r="AG16" s="630"/>
      <c r="AH16" s="630"/>
      <c r="AI16" s="630"/>
      <c r="AJ16" s="630"/>
      <c r="AK16" s="630"/>
      <c r="AL16" s="629"/>
      <c r="AM16" s="629"/>
      <c r="AN16" s="629"/>
      <c r="AO16" s="629"/>
      <c r="AP16" s="629"/>
      <c r="AQ16" s="629"/>
      <c r="AR16" s="509"/>
      <c r="AS16" s="509"/>
      <c r="AT16" s="805"/>
      <c r="AU16" s="805"/>
      <c r="AV16" s="799"/>
      <c r="AW16" s="799"/>
    </row>
    <row r="17" spans="1:49">
      <c r="A17" s="477" t="s">
        <v>142</v>
      </c>
      <c r="B17" s="399"/>
      <c r="C17" s="399"/>
      <c r="D17" s="399"/>
      <c r="E17" s="399"/>
      <c r="F17" s="399"/>
      <c r="G17" s="399"/>
      <c r="H17" s="399"/>
      <c r="I17" s="399"/>
      <c r="J17" s="399"/>
      <c r="K17" s="399"/>
      <c r="L17" s="399"/>
      <c r="M17" s="399"/>
      <c r="N17" s="399"/>
      <c r="O17" s="612"/>
      <c r="P17" s="399"/>
      <c r="Q17" s="399"/>
      <c r="R17" s="399"/>
      <c r="S17" s="399"/>
      <c r="T17" s="399"/>
      <c r="U17" s="399"/>
      <c r="V17" s="399"/>
      <c r="W17" s="399"/>
      <c r="X17" s="399"/>
      <c r="Y17" s="399"/>
      <c r="Z17" s="514"/>
      <c r="AA17" s="750"/>
      <c r="AB17" s="399"/>
      <c r="AC17" s="399"/>
      <c r="AD17" s="399"/>
      <c r="AE17" s="399"/>
      <c r="AF17" s="399"/>
      <c r="AG17" s="399"/>
      <c r="AH17" s="399"/>
      <c r="AI17" s="399"/>
      <c r="AJ17" s="552"/>
      <c r="AK17" s="552"/>
      <c r="AL17" s="542"/>
      <c r="AM17" s="542"/>
      <c r="AN17" s="511"/>
      <c r="AO17" s="511"/>
      <c r="AP17" s="567"/>
      <c r="AQ17" s="567"/>
      <c r="AR17" s="509"/>
      <c r="AS17" s="509"/>
      <c r="AT17" s="805"/>
      <c r="AU17" s="805"/>
      <c r="AV17" s="799"/>
      <c r="AW17" s="799"/>
    </row>
    <row r="18" spans="1:49">
      <c r="A18" s="477" t="s">
        <v>143</v>
      </c>
      <c r="B18" s="399"/>
      <c r="C18" s="399"/>
      <c r="D18" s="399"/>
      <c r="E18" s="399"/>
      <c r="F18" s="399"/>
      <c r="G18" s="399"/>
      <c r="H18" s="399"/>
      <c r="I18" s="399"/>
      <c r="J18" s="399"/>
      <c r="K18" s="399"/>
      <c r="L18" s="399"/>
      <c r="M18" s="399" t="s">
        <v>381</v>
      </c>
      <c r="N18" s="399"/>
      <c r="O18" s="612"/>
      <c r="P18" s="399"/>
      <c r="Q18" s="399"/>
      <c r="R18" s="399"/>
      <c r="S18" s="399"/>
      <c r="T18" s="399"/>
      <c r="U18" s="399"/>
      <c r="V18" s="399"/>
      <c r="W18" s="399"/>
      <c r="X18" s="399"/>
      <c r="Y18" s="399"/>
      <c r="Z18" s="514"/>
      <c r="AA18" s="750"/>
      <c r="AB18" s="399"/>
      <c r="AC18" s="399"/>
      <c r="AD18" s="399"/>
      <c r="AE18" s="399"/>
      <c r="AF18" s="399"/>
      <c r="AG18" s="399"/>
      <c r="AH18" s="399"/>
      <c r="AI18" s="399"/>
      <c r="AJ18" s="552"/>
      <c r="AK18" s="552"/>
      <c r="AL18" s="542"/>
      <c r="AM18" s="542"/>
      <c r="AN18" s="511"/>
      <c r="AO18" s="511"/>
      <c r="AP18" s="567"/>
      <c r="AQ18" s="567"/>
      <c r="AR18" s="509"/>
      <c r="AS18" s="509"/>
      <c r="AT18" s="805"/>
      <c r="AU18" s="805"/>
      <c r="AV18" s="799"/>
      <c r="AW18" s="799"/>
    </row>
    <row r="19" spans="1:49">
      <c r="A19" s="477" t="s">
        <v>144</v>
      </c>
      <c r="B19" s="399"/>
      <c r="C19" s="399"/>
      <c r="D19" s="399"/>
      <c r="E19" s="399"/>
      <c r="F19" s="399"/>
      <c r="G19" s="399"/>
      <c r="H19" s="399"/>
      <c r="I19" s="399"/>
      <c r="J19" s="399"/>
      <c r="K19" s="399"/>
      <c r="L19" s="371">
        <v>500</v>
      </c>
      <c r="M19" s="399">
        <f>-1.34-40.88-37.77-27.67-75-75-35.19-48.77</f>
        <v>-341.62</v>
      </c>
      <c r="N19" s="399"/>
      <c r="O19" s="612"/>
      <c r="P19" s="371">
        <v>10</v>
      </c>
      <c r="Q19" s="399"/>
      <c r="R19" s="552"/>
      <c r="S19" s="399"/>
      <c r="T19" s="399"/>
      <c r="U19" s="399"/>
      <c r="V19" s="552">
        <v>5700</v>
      </c>
      <c r="W19" s="399"/>
      <c r="X19" s="399"/>
      <c r="Y19" s="399"/>
      <c r="Z19" s="552"/>
      <c r="AA19" s="750"/>
      <c r="AB19" s="399"/>
      <c r="AC19" s="399"/>
      <c r="AD19" s="399"/>
      <c r="AE19" s="399"/>
      <c r="AF19" s="399"/>
      <c r="AG19" s="399"/>
      <c r="AH19" s="399"/>
      <c r="AI19" s="399"/>
      <c r="AJ19" s="552">
        <f>+Z19+V19+R19</f>
        <v>5700</v>
      </c>
      <c r="AK19" s="552">
        <f>S19+W19+AA19</f>
        <v>0</v>
      </c>
      <c r="AL19" s="542">
        <f>P19+L19</f>
        <v>510</v>
      </c>
      <c r="AM19" s="542">
        <f>Q19+AC19+M19</f>
        <v>-341.62</v>
      </c>
      <c r="AN19" s="511"/>
      <c r="AO19" s="511"/>
      <c r="AP19" s="567"/>
      <c r="AQ19" s="567"/>
      <c r="AR19" s="509"/>
      <c r="AS19" s="509"/>
      <c r="AT19" s="805"/>
      <c r="AU19" s="805"/>
      <c r="AV19" s="799"/>
      <c r="AW19" s="799"/>
    </row>
    <row r="20" spans="1:49">
      <c r="A20" s="477" t="s">
        <v>145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612"/>
      <c r="P20" s="492"/>
      <c r="Q20" s="399"/>
      <c r="R20" s="399"/>
      <c r="S20" s="399"/>
      <c r="T20" s="399"/>
      <c r="U20" s="399"/>
      <c r="V20" s="399"/>
      <c r="W20" s="399"/>
      <c r="X20" s="399"/>
      <c r="Y20" s="399"/>
      <c r="Z20" s="514"/>
      <c r="AA20" s="750"/>
      <c r="AB20" s="399"/>
      <c r="AC20" s="399"/>
      <c r="AD20" s="399"/>
      <c r="AE20" s="399"/>
      <c r="AF20" s="399"/>
      <c r="AG20" s="399"/>
      <c r="AH20" s="399"/>
      <c r="AI20" s="399"/>
      <c r="AJ20" s="552"/>
      <c r="AK20" s="552"/>
      <c r="AL20" s="542"/>
      <c r="AM20" s="542"/>
      <c r="AN20" s="511"/>
      <c r="AO20" s="511"/>
      <c r="AP20" s="567"/>
      <c r="AQ20" s="567"/>
      <c r="AR20" s="509"/>
      <c r="AS20" s="509"/>
      <c r="AT20" s="805"/>
      <c r="AU20" s="805"/>
      <c r="AV20" s="799"/>
      <c r="AW20" s="799"/>
    </row>
    <row r="21" spans="1:49">
      <c r="A21" s="629" t="s">
        <v>148</v>
      </c>
      <c r="B21" s="630"/>
      <c r="C21" s="630"/>
      <c r="D21" s="630"/>
      <c r="E21" s="630"/>
      <c r="F21" s="630"/>
      <c r="G21" s="630"/>
      <c r="H21" s="630"/>
      <c r="I21" s="630"/>
      <c r="J21" s="630"/>
      <c r="K21" s="630"/>
      <c r="L21" s="630"/>
      <c r="M21" s="630"/>
      <c r="N21" s="630"/>
      <c r="O21" s="631"/>
      <c r="P21" s="630"/>
      <c r="Q21" s="630"/>
      <c r="R21" s="630"/>
      <c r="S21" s="630"/>
      <c r="T21" s="630"/>
      <c r="U21" s="630"/>
      <c r="V21" s="630"/>
      <c r="W21" s="630"/>
      <c r="X21" s="630"/>
      <c r="Y21" s="630"/>
      <c r="Z21" s="630"/>
      <c r="AA21" s="768"/>
      <c r="AB21" s="630"/>
      <c r="AC21" s="630"/>
      <c r="AD21" s="630"/>
      <c r="AE21" s="630"/>
      <c r="AF21" s="630"/>
      <c r="AG21" s="630"/>
      <c r="AH21" s="630"/>
      <c r="AI21" s="630"/>
      <c r="AJ21" s="630"/>
      <c r="AK21" s="629"/>
      <c r="AL21" s="629"/>
      <c r="AM21" s="629"/>
      <c r="AN21" s="629"/>
      <c r="AO21" s="629"/>
      <c r="AP21" s="629"/>
      <c r="AQ21" s="629"/>
      <c r="AR21" s="509"/>
      <c r="AS21" s="509"/>
      <c r="AT21" s="805"/>
      <c r="AU21" s="805"/>
      <c r="AV21" s="799"/>
      <c r="AW21" s="799"/>
    </row>
    <row r="22" spans="1:49">
      <c r="A22" s="477" t="s">
        <v>149</v>
      </c>
      <c r="B22" s="552">
        <v>900</v>
      </c>
      <c r="C22" s="399"/>
      <c r="D22" s="399"/>
      <c r="E22" s="399"/>
      <c r="F22" s="399"/>
      <c r="G22" s="399"/>
      <c r="H22" s="399"/>
      <c r="I22" s="399"/>
      <c r="J22" s="399"/>
      <c r="K22" s="399"/>
      <c r="L22" s="399"/>
      <c r="M22" s="399"/>
      <c r="N22" s="399"/>
      <c r="O22" s="612"/>
      <c r="P22" s="567">
        <v>9500</v>
      </c>
      <c r="Q22" s="399"/>
      <c r="R22" s="399"/>
      <c r="S22" s="399"/>
      <c r="T22" s="399"/>
      <c r="U22" s="399"/>
      <c r="V22" s="805">
        <v>1500</v>
      </c>
      <c r="W22" s="399"/>
      <c r="X22" s="542">
        <v>500</v>
      </c>
      <c r="Y22" s="399"/>
      <c r="Z22" s="514"/>
      <c r="AA22" s="750"/>
      <c r="AB22" s="399"/>
      <c r="AC22" s="399"/>
      <c r="AD22" s="399"/>
      <c r="AE22" s="399"/>
      <c r="AF22" s="399"/>
      <c r="AG22" s="399"/>
      <c r="AH22" s="399"/>
      <c r="AI22" s="399"/>
      <c r="AJ22" s="552">
        <f>B22</f>
        <v>900</v>
      </c>
      <c r="AK22" s="552">
        <f>C22+D22+E22+I22</f>
        <v>0</v>
      </c>
      <c r="AL22" s="542">
        <f>X22</f>
        <v>500</v>
      </c>
      <c r="AM22" s="542">
        <f>Y22</f>
        <v>0</v>
      </c>
      <c r="AN22" s="511"/>
      <c r="AO22" s="511"/>
      <c r="AP22" s="567">
        <f>P22</f>
        <v>9500</v>
      </c>
      <c r="AQ22" s="567">
        <f>Q22+W22</f>
        <v>0</v>
      </c>
      <c r="AR22" s="509"/>
      <c r="AS22" s="509"/>
      <c r="AT22" s="805">
        <f>V22</f>
        <v>1500</v>
      </c>
      <c r="AU22" s="805">
        <f>W22</f>
        <v>0</v>
      </c>
      <c r="AV22" s="799"/>
      <c r="AW22" s="799"/>
    </row>
    <row r="23" spans="1:49">
      <c r="A23" s="477" t="s">
        <v>150</v>
      </c>
      <c r="B23" s="371">
        <v>116.94</v>
      </c>
      <c r="C23" s="399">
        <v>-116.94</v>
      </c>
      <c r="D23" s="399"/>
      <c r="E23" s="399"/>
      <c r="F23" s="399"/>
      <c r="G23" s="399"/>
      <c r="H23" s="399"/>
      <c r="I23" s="399"/>
      <c r="J23" s="399"/>
      <c r="K23" s="399"/>
      <c r="L23" s="399"/>
      <c r="M23" s="399"/>
      <c r="N23" s="399"/>
      <c r="O23" s="612"/>
      <c r="P23" s="399"/>
      <c r="Q23" s="399"/>
      <c r="R23" s="399"/>
      <c r="S23" s="399"/>
      <c r="T23" s="399"/>
      <c r="U23" s="399"/>
      <c r="V23" s="399"/>
      <c r="W23" s="399"/>
      <c r="X23" s="399"/>
      <c r="Y23" s="399"/>
      <c r="Z23" s="514"/>
      <c r="AA23" s="750"/>
      <c r="AB23" s="399"/>
      <c r="AC23" s="399"/>
      <c r="AD23" s="399"/>
      <c r="AE23" s="399"/>
      <c r="AF23" s="399"/>
      <c r="AG23" s="399"/>
      <c r="AH23" s="399"/>
      <c r="AI23" s="399"/>
      <c r="AJ23" s="552"/>
      <c r="AK23" s="552"/>
      <c r="AL23" s="542">
        <f>B23</f>
        <v>116.94</v>
      </c>
      <c r="AM23" s="542">
        <f>C23</f>
        <v>-116.94</v>
      </c>
      <c r="AN23" s="511"/>
      <c r="AO23" s="511"/>
      <c r="AP23" s="567"/>
      <c r="AQ23" s="567"/>
      <c r="AR23" s="509"/>
      <c r="AS23" s="509"/>
      <c r="AT23" s="805"/>
      <c r="AU23" s="805"/>
      <c r="AV23" s="799"/>
      <c r="AW23" s="799"/>
    </row>
    <row r="24" spans="1:49">
      <c r="A24" s="477" t="s">
        <v>151</v>
      </c>
      <c r="B24" s="567">
        <v>810</v>
      </c>
      <c r="C24" s="399">
        <f>-450-351.42</f>
        <v>-801.42000000000007</v>
      </c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399"/>
      <c r="O24" s="612"/>
      <c r="P24" s="567">
        <v>105</v>
      </c>
      <c r="Q24" s="399"/>
      <c r="R24" s="399"/>
      <c r="S24" s="399"/>
      <c r="T24" s="399"/>
      <c r="U24" s="399"/>
      <c r="V24" s="399"/>
      <c r="W24" s="399"/>
      <c r="X24" s="399"/>
      <c r="Y24" s="399"/>
      <c r="Z24" s="514"/>
      <c r="AA24" s="750"/>
      <c r="AB24" s="399"/>
      <c r="AC24" s="399"/>
      <c r="AD24" s="703">
        <v>25.5</v>
      </c>
      <c r="AE24" s="399"/>
      <c r="AF24" s="399"/>
      <c r="AG24" s="399"/>
      <c r="AH24" s="399"/>
      <c r="AI24" s="399"/>
      <c r="AJ24" s="552"/>
      <c r="AK24" s="552"/>
      <c r="AL24" s="542">
        <f>AD24</f>
        <v>25.5</v>
      </c>
      <c r="AM24" s="542">
        <f>AE24</f>
        <v>0</v>
      </c>
      <c r="AN24" s="511"/>
      <c r="AO24" s="511"/>
      <c r="AP24" s="567">
        <f>B24+P24</f>
        <v>915</v>
      </c>
      <c r="AQ24" s="567">
        <f>C24+Q24</f>
        <v>-801.42000000000007</v>
      </c>
      <c r="AR24" s="509"/>
      <c r="AS24" s="509"/>
      <c r="AT24" s="805"/>
      <c r="AU24" s="805"/>
      <c r="AV24" s="799"/>
      <c r="AW24" s="799"/>
    </row>
    <row r="25" spans="1:49">
      <c r="A25" s="477" t="s">
        <v>265</v>
      </c>
      <c r="B25" s="371">
        <v>171</v>
      </c>
      <c r="C25" s="399"/>
      <c r="D25" s="399"/>
      <c r="E25" s="399"/>
      <c r="F25" s="399"/>
      <c r="G25" s="399"/>
      <c r="H25" s="399"/>
      <c r="I25" s="399">
        <v>-171</v>
      </c>
      <c r="J25" s="399"/>
      <c r="K25" s="399"/>
      <c r="L25" s="399"/>
      <c r="M25" s="399"/>
      <c r="N25" s="802"/>
      <c r="O25" s="612"/>
      <c r="P25" s="567"/>
      <c r="Q25" s="399"/>
      <c r="R25" s="399"/>
      <c r="S25" s="399"/>
      <c r="T25" s="399"/>
      <c r="U25" s="399"/>
      <c r="V25" s="399"/>
      <c r="W25" s="399"/>
      <c r="X25" s="399"/>
      <c r="Y25" s="399"/>
      <c r="Z25" s="514"/>
      <c r="AA25" s="750"/>
      <c r="AB25" s="399"/>
      <c r="AC25" s="399"/>
      <c r="AD25" s="703"/>
      <c r="AE25" s="399"/>
      <c r="AF25" s="399"/>
      <c r="AG25" s="399"/>
      <c r="AH25" s="399"/>
      <c r="AI25" s="399"/>
      <c r="AJ25" s="552"/>
      <c r="AK25" s="552"/>
      <c r="AL25" s="542">
        <f>B25</f>
        <v>171</v>
      </c>
      <c r="AM25" s="542">
        <f>I25</f>
        <v>-171</v>
      </c>
      <c r="AN25" s="511"/>
      <c r="AO25" s="511"/>
      <c r="AP25" s="567"/>
      <c r="AQ25" s="567"/>
      <c r="AR25" s="509"/>
      <c r="AS25" s="509"/>
      <c r="AT25" s="805"/>
      <c r="AU25" s="805"/>
      <c r="AV25" s="799"/>
      <c r="AW25" s="799"/>
    </row>
    <row r="26" spans="1:49">
      <c r="A26" s="477" t="s">
        <v>151</v>
      </c>
      <c r="B26" s="552">
        <v>675</v>
      </c>
      <c r="C26" s="399"/>
      <c r="D26" s="399"/>
      <c r="E26" s="399">
        <v>-663</v>
      </c>
      <c r="F26" s="399"/>
      <c r="G26" s="399"/>
      <c r="H26" s="399"/>
      <c r="I26" s="399"/>
      <c r="J26" s="399"/>
      <c r="K26" s="399"/>
      <c r="L26" s="399"/>
      <c r="M26" s="399"/>
      <c r="N26" s="552">
        <v>5200</v>
      </c>
      <c r="O26" s="612"/>
      <c r="P26" s="552">
        <v>390</v>
      </c>
      <c r="Q26" s="399"/>
      <c r="S26" s="399"/>
      <c r="T26" s="399"/>
      <c r="U26" s="399"/>
      <c r="V26" s="513">
        <v>2500</v>
      </c>
      <c r="W26" s="399"/>
      <c r="X26" s="399"/>
      <c r="Y26" s="399"/>
      <c r="Z26" s="514"/>
      <c r="AA26" s="750"/>
      <c r="AB26" s="399"/>
      <c r="AC26" s="399"/>
      <c r="AD26" s="399"/>
      <c r="AE26" s="399"/>
      <c r="AF26" s="399"/>
      <c r="AG26" s="399"/>
      <c r="AH26" s="399"/>
      <c r="AI26" s="399"/>
      <c r="AJ26" s="552">
        <f>B26+P26+N26</f>
        <v>6265</v>
      </c>
      <c r="AK26" s="552">
        <f>C26+E26+I26+Q26+O26</f>
        <v>-663</v>
      </c>
      <c r="AL26" s="542"/>
      <c r="AM26" s="542" t="s">
        <v>219</v>
      </c>
      <c r="AN26" s="511"/>
      <c r="AO26" s="511"/>
      <c r="AP26" s="567"/>
      <c r="AQ26" s="567">
        <f>W26</f>
        <v>0</v>
      </c>
      <c r="AR26" s="509">
        <f>V26</f>
        <v>2500</v>
      </c>
      <c r="AS26" s="509"/>
      <c r="AT26" s="805"/>
      <c r="AU26" s="805"/>
      <c r="AV26" s="799"/>
      <c r="AW26" s="799"/>
    </row>
    <row r="27" spans="1:49">
      <c r="A27" s="477" t="s">
        <v>152</v>
      </c>
      <c r="B27" s="399"/>
      <c r="C27" s="399"/>
      <c r="D27" s="399"/>
      <c r="E27" s="399"/>
      <c r="F27" s="399"/>
      <c r="G27" s="399"/>
      <c r="H27" s="399"/>
      <c r="I27" s="399"/>
      <c r="J27" s="399"/>
      <c r="K27" s="399"/>
      <c r="L27" s="399"/>
      <c r="M27" s="399"/>
      <c r="N27" s="399"/>
      <c r="O27" s="612"/>
      <c r="P27" s="399"/>
      <c r="Q27" s="399"/>
      <c r="R27" s="399"/>
      <c r="S27" s="399"/>
      <c r="T27" s="399"/>
      <c r="U27" s="399"/>
      <c r="V27" s="399"/>
      <c r="W27" s="399"/>
      <c r="X27" s="399"/>
      <c r="Y27" s="399"/>
      <c r="Z27" s="514"/>
      <c r="AA27" s="750"/>
      <c r="AB27" s="399"/>
      <c r="AC27" s="399"/>
      <c r="AD27" s="399"/>
      <c r="AE27" s="399"/>
      <c r="AF27" s="399"/>
      <c r="AG27" s="399"/>
      <c r="AH27" s="399"/>
      <c r="AI27" s="399"/>
      <c r="AJ27" s="552"/>
      <c r="AK27" s="552"/>
      <c r="AL27" s="542"/>
      <c r="AM27" s="542"/>
      <c r="AN27" s="511"/>
      <c r="AO27" s="511"/>
      <c r="AP27" s="567"/>
      <c r="AQ27" s="567"/>
      <c r="AR27" s="509"/>
      <c r="AS27" s="509"/>
      <c r="AT27" s="805"/>
      <c r="AU27" s="805"/>
      <c r="AV27" s="799"/>
      <c r="AW27" s="799"/>
    </row>
    <row r="28" spans="1:49">
      <c r="A28" s="629" t="s">
        <v>153</v>
      </c>
      <c r="B28" s="630"/>
      <c r="C28" s="630"/>
      <c r="D28" s="630"/>
      <c r="E28" s="630"/>
      <c r="F28" s="630"/>
      <c r="G28" s="630"/>
      <c r="H28" s="630"/>
      <c r="I28" s="630"/>
      <c r="J28" s="630"/>
      <c r="K28" s="630"/>
      <c r="L28" s="630"/>
      <c r="M28" s="630"/>
      <c r="N28" s="630"/>
      <c r="O28" s="631"/>
      <c r="P28" s="630"/>
      <c r="Q28" s="630"/>
      <c r="R28" s="630"/>
      <c r="S28" s="630"/>
      <c r="T28" s="630"/>
      <c r="U28" s="630"/>
      <c r="V28" s="630"/>
      <c r="W28" s="630"/>
      <c r="X28" s="630"/>
      <c r="Y28" s="630"/>
      <c r="Z28" s="630"/>
      <c r="AA28" s="768"/>
      <c r="AB28" s="630"/>
      <c r="AC28" s="630"/>
      <c r="AD28" s="630"/>
      <c r="AE28" s="630"/>
      <c r="AF28" s="630"/>
      <c r="AG28" s="630"/>
      <c r="AH28" s="630"/>
      <c r="AI28" s="630"/>
      <c r="AJ28" s="630"/>
      <c r="AK28" s="630"/>
      <c r="AL28" s="629"/>
      <c r="AM28" s="629"/>
      <c r="AN28" s="629"/>
      <c r="AO28" s="629"/>
      <c r="AP28" s="629"/>
      <c r="AQ28" s="629"/>
      <c r="AR28" s="509"/>
      <c r="AS28" s="509"/>
      <c r="AT28" s="805"/>
      <c r="AU28" s="805"/>
      <c r="AV28" s="799"/>
      <c r="AW28" s="799"/>
    </row>
    <row r="29" spans="1:49">
      <c r="A29" s="477" t="s">
        <v>155</v>
      </c>
      <c r="B29" s="399"/>
      <c r="C29" s="399"/>
      <c r="D29" s="399"/>
      <c r="E29" s="399"/>
      <c r="F29" s="399"/>
      <c r="G29" s="399"/>
      <c r="H29" s="399"/>
      <c r="I29" s="399"/>
      <c r="J29" s="399"/>
      <c r="K29" s="399"/>
      <c r="L29" s="399"/>
      <c r="M29" s="399"/>
      <c r="N29" s="399"/>
      <c r="O29" s="612"/>
      <c r="P29" s="399"/>
      <c r="Q29" s="399"/>
      <c r="R29" s="399"/>
      <c r="S29" s="399"/>
      <c r="T29" s="399"/>
      <c r="U29" s="399"/>
      <c r="V29" s="399"/>
      <c r="W29" s="399"/>
      <c r="X29" s="399"/>
      <c r="Y29" s="399"/>
      <c r="Z29" s="514"/>
      <c r="AA29" s="750"/>
      <c r="AB29" s="399"/>
      <c r="AC29" s="399"/>
      <c r="AD29" s="399"/>
      <c r="AE29" s="399"/>
      <c r="AF29" s="399"/>
      <c r="AG29" s="399"/>
      <c r="AH29" s="399"/>
      <c r="AI29" s="399"/>
      <c r="AJ29" s="552"/>
      <c r="AK29" s="552"/>
      <c r="AL29" s="542"/>
      <c r="AM29" s="542"/>
      <c r="AN29" s="511"/>
      <c r="AO29" s="511"/>
      <c r="AP29" s="567"/>
      <c r="AQ29" s="567"/>
      <c r="AR29" s="509"/>
      <c r="AS29" s="509"/>
      <c r="AT29" s="805"/>
      <c r="AU29" s="805"/>
      <c r="AV29" s="799"/>
      <c r="AW29" s="799"/>
    </row>
    <row r="30" spans="1:49">
      <c r="A30" s="477" t="s">
        <v>156</v>
      </c>
      <c r="B30" s="399"/>
      <c r="C30" s="399"/>
      <c r="D30" s="399"/>
      <c r="E30" s="399"/>
      <c r="F30" s="399"/>
      <c r="G30" s="399"/>
      <c r="H30" s="399"/>
      <c r="I30" s="399"/>
      <c r="J30" s="399"/>
      <c r="K30" s="399"/>
      <c r="L30" s="371">
        <f>630+450</f>
        <v>1080</v>
      </c>
      <c r="M30" s="399">
        <f>-90-90-90-90-90-90-90</f>
        <v>-630</v>
      </c>
      <c r="N30" s="802"/>
      <c r="O30" s="612"/>
      <c r="P30" s="552"/>
      <c r="Q30" s="399"/>
      <c r="R30" s="552">
        <v>332.16</v>
      </c>
      <c r="S30" s="399"/>
      <c r="T30" s="399"/>
      <c r="U30" s="399"/>
      <c r="V30" s="399"/>
      <c r="W30" s="399"/>
      <c r="X30" s="399"/>
      <c r="Y30" s="399"/>
      <c r="Z30" s="514"/>
      <c r="AA30" s="750"/>
      <c r="AD30" s="371">
        <v>8</v>
      </c>
      <c r="AE30" s="399"/>
      <c r="AF30" s="399"/>
      <c r="AG30" s="399"/>
      <c r="AH30" s="399"/>
      <c r="AI30" s="399"/>
      <c r="AJ30" s="552">
        <f>R30+P30</f>
        <v>332.16</v>
      </c>
      <c r="AK30" s="552">
        <f>S30+Q30</f>
        <v>0</v>
      </c>
      <c r="AL30" s="542">
        <f>AD30+L30</f>
        <v>1088</v>
      </c>
      <c r="AM30" s="542">
        <f>+M30+AE30</f>
        <v>-630</v>
      </c>
      <c r="AN30" s="511"/>
      <c r="AO30" s="511"/>
      <c r="AP30" s="567"/>
      <c r="AQ30" s="567"/>
      <c r="AR30" s="509"/>
      <c r="AS30" s="509"/>
      <c r="AT30" s="805"/>
      <c r="AU30" s="805"/>
      <c r="AV30" s="799"/>
      <c r="AW30" s="799"/>
    </row>
    <row r="31" spans="1:49">
      <c r="A31" s="477" t="s">
        <v>156</v>
      </c>
      <c r="B31" s="399"/>
      <c r="C31" s="399"/>
      <c r="D31" s="399"/>
      <c r="E31" s="399"/>
      <c r="F31" s="399"/>
      <c r="G31" s="399"/>
      <c r="H31" s="399"/>
      <c r="I31" s="399"/>
      <c r="J31" s="399"/>
      <c r="K31" s="399"/>
      <c r="L31" s="399"/>
      <c r="M31" s="399"/>
      <c r="N31" s="802"/>
      <c r="O31" s="399"/>
      <c r="P31" s="399"/>
      <c r="Q31" s="399"/>
      <c r="R31" s="511"/>
      <c r="S31" s="1"/>
      <c r="T31" s="1"/>
      <c r="U31" s="1"/>
      <c r="V31" s="399"/>
      <c r="W31" s="399"/>
      <c r="X31" s="399"/>
      <c r="Y31" s="399"/>
      <c r="Z31" s="514"/>
      <c r="AA31" s="750"/>
      <c r="AB31" s="399"/>
      <c r="AC31" s="399"/>
      <c r="AD31" s="399"/>
      <c r="AE31" s="399"/>
      <c r="AF31" s="399"/>
      <c r="AG31" s="399"/>
      <c r="AH31" s="399"/>
      <c r="AI31" s="399"/>
      <c r="AJ31" s="552">
        <f>N31</f>
        <v>0</v>
      </c>
      <c r="AK31" s="552"/>
      <c r="AL31" s="542"/>
      <c r="AM31" s="542"/>
      <c r="AN31" s="511">
        <f>R31</f>
        <v>0</v>
      </c>
      <c r="AO31" s="511"/>
      <c r="AP31" s="567"/>
      <c r="AQ31" s="567"/>
      <c r="AR31" s="509"/>
      <c r="AS31" s="509"/>
      <c r="AT31" s="805"/>
      <c r="AU31" s="805"/>
      <c r="AV31" s="799"/>
      <c r="AW31" s="799"/>
    </row>
    <row r="32" spans="1:49">
      <c r="A32" s="477" t="s">
        <v>129</v>
      </c>
      <c r="B32" s="552"/>
      <c r="C32" s="399"/>
      <c r="D32" s="399"/>
      <c r="E32" s="399"/>
      <c r="F32" s="399"/>
      <c r="G32" s="399"/>
      <c r="H32" s="399"/>
      <c r="I32" s="399"/>
      <c r="J32" s="399"/>
      <c r="K32" s="399"/>
      <c r="L32" s="399"/>
      <c r="M32" s="399"/>
      <c r="N32" s="399"/>
      <c r="O32" s="612"/>
      <c r="P32" s="567"/>
      <c r="Q32" s="399"/>
      <c r="R32" s="511">
        <v>8612.7000000000007</v>
      </c>
      <c r="S32" s="399"/>
      <c r="T32" s="399"/>
      <c r="U32" s="399"/>
      <c r="V32" s="399"/>
      <c r="W32" s="399"/>
      <c r="X32" s="542"/>
      <c r="Y32" s="399"/>
      <c r="Z32" s="514"/>
      <c r="AA32" s="750"/>
      <c r="AB32" s="399"/>
      <c r="AC32" s="399"/>
      <c r="AD32" s="552"/>
      <c r="AE32" s="399"/>
      <c r="AF32" s="399"/>
      <c r="AG32" s="399"/>
      <c r="AH32" s="399"/>
      <c r="AI32" s="399"/>
      <c r="AJ32" s="552">
        <f>B32+AD32</f>
        <v>0</v>
      </c>
      <c r="AK32" s="552">
        <f>C32+S33+AE32</f>
        <v>0</v>
      </c>
      <c r="AL32" s="542">
        <f>X32</f>
        <v>0</v>
      </c>
      <c r="AM32" s="542"/>
      <c r="AN32" s="511">
        <f>R32</f>
        <v>8612.7000000000007</v>
      </c>
      <c r="AO32" s="511">
        <f>S32</f>
        <v>0</v>
      </c>
      <c r="AP32" s="567">
        <f>P32</f>
        <v>0</v>
      </c>
      <c r="AQ32" s="567">
        <f>Q32+Y32</f>
        <v>0</v>
      </c>
      <c r="AR32" s="509"/>
      <c r="AS32" s="509"/>
      <c r="AT32" s="805"/>
      <c r="AU32" s="805"/>
      <c r="AV32" s="799"/>
      <c r="AW32" s="799"/>
    </row>
    <row r="33" spans="1:49">
      <c r="A33" s="477" t="s">
        <v>157</v>
      </c>
      <c r="B33" s="399"/>
      <c r="C33" s="399"/>
      <c r="D33" s="399"/>
      <c r="E33" s="399"/>
      <c r="F33" s="399"/>
      <c r="G33" s="399"/>
      <c r="H33" s="399"/>
      <c r="I33" s="399"/>
      <c r="J33" s="399"/>
      <c r="K33" s="399"/>
      <c r="L33" s="399"/>
      <c r="M33" s="399"/>
      <c r="N33" s="399"/>
      <c r="O33" s="612"/>
      <c r="P33" s="399"/>
      <c r="Q33" s="399"/>
      <c r="S33" s="399"/>
      <c r="T33" s="399"/>
      <c r="U33" s="399"/>
      <c r="V33" s="399"/>
      <c r="W33" s="399"/>
      <c r="X33" s="399"/>
      <c r="Y33" s="399"/>
      <c r="Z33" s="514"/>
      <c r="AA33" s="750"/>
      <c r="AB33" s="399"/>
      <c r="AC33" s="399"/>
      <c r="AD33" s="399"/>
      <c r="AE33" s="399"/>
      <c r="AF33" s="399"/>
      <c r="AG33" s="399"/>
      <c r="AH33" s="399"/>
      <c r="AI33" s="399"/>
      <c r="AJ33" s="552"/>
      <c r="AK33" s="552"/>
      <c r="AL33" s="542"/>
      <c r="AM33" s="542"/>
      <c r="AN33" s="511"/>
      <c r="AO33" s="511"/>
      <c r="AP33" s="567"/>
      <c r="AQ33" s="567"/>
      <c r="AR33" s="509"/>
      <c r="AS33" s="509"/>
      <c r="AT33" s="805"/>
      <c r="AU33" s="805"/>
      <c r="AV33" s="799"/>
      <c r="AW33" s="799"/>
    </row>
    <row r="34" spans="1:49">
      <c r="A34" s="629" t="s">
        <v>160</v>
      </c>
      <c r="B34" s="630"/>
      <c r="C34" s="630"/>
      <c r="D34" s="630"/>
      <c r="E34" s="630"/>
      <c r="F34" s="630"/>
      <c r="G34" s="630"/>
      <c r="H34" s="630"/>
      <c r="I34" s="630"/>
      <c r="J34" s="630"/>
      <c r="K34" s="630"/>
      <c r="L34" s="630"/>
      <c r="M34" s="630"/>
      <c r="N34" s="630"/>
      <c r="O34" s="631"/>
      <c r="P34" s="630"/>
      <c r="Q34" s="630"/>
      <c r="R34" s="630"/>
      <c r="S34" s="630"/>
      <c r="T34" s="630"/>
      <c r="U34" s="630"/>
      <c r="V34" s="630"/>
      <c r="W34" s="630"/>
      <c r="X34" s="630"/>
      <c r="Y34" s="630"/>
      <c r="Z34" s="630"/>
      <c r="AA34" s="768"/>
      <c r="AB34" s="630"/>
      <c r="AC34" s="630"/>
      <c r="AD34" s="630"/>
      <c r="AE34" s="630"/>
      <c r="AF34" s="630"/>
      <c r="AG34" s="630"/>
      <c r="AH34" s="630"/>
      <c r="AI34" s="630"/>
      <c r="AJ34" s="630"/>
      <c r="AK34" s="629"/>
      <c r="AL34" s="629"/>
      <c r="AM34" s="629"/>
      <c r="AN34" s="629"/>
      <c r="AO34" s="629"/>
      <c r="AP34" s="629"/>
      <c r="AQ34" s="629"/>
      <c r="AR34" s="509"/>
      <c r="AS34" s="509"/>
      <c r="AT34" s="805"/>
      <c r="AU34" s="805"/>
      <c r="AV34" s="799"/>
      <c r="AW34" s="799"/>
    </row>
    <row r="35" spans="1:49">
      <c r="A35" s="477" t="s">
        <v>161</v>
      </c>
      <c r="B35" s="399"/>
      <c r="C35" s="399"/>
      <c r="D35" s="399"/>
      <c r="E35" s="399"/>
      <c r="F35" s="399"/>
      <c r="G35" s="399"/>
      <c r="H35" s="399"/>
      <c r="I35" s="399"/>
      <c r="J35" s="399"/>
      <c r="K35" s="399"/>
      <c r="L35" s="399"/>
      <c r="M35" s="399"/>
      <c r="N35" s="399"/>
      <c r="O35" s="612"/>
      <c r="P35" s="399"/>
      <c r="Q35" s="399"/>
      <c r="R35" s="399"/>
      <c r="S35" s="399"/>
      <c r="T35" s="399"/>
      <c r="U35" s="399"/>
      <c r="V35" s="399"/>
      <c r="W35" s="399"/>
      <c r="X35" s="399"/>
      <c r="Y35" s="399"/>
      <c r="Z35" s="552">
        <v>156</v>
      </c>
      <c r="AA35" s="750"/>
      <c r="AB35" s="399"/>
      <c r="AC35" s="399"/>
      <c r="AD35" s="399"/>
      <c r="AE35" s="399"/>
      <c r="AF35" s="399"/>
      <c r="AG35" s="399"/>
      <c r="AH35" s="399"/>
      <c r="AI35" s="399"/>
      <c r="AJ35" s="552">
        <f>Z35</f>
        <v>156</v>
      </c>
      <c r="AK35" s="552">
        <f>AA35</f>
        <v>0</v>
      </c>
      <c r="AL35" s="542"/>
      <c r="AM35" s="542"/>
      <c r="AN35" s="511"/>
      <c r="AO35" s="511"/>
      <c r="AP35" s="567"/>
      <c r="AQ35" s="567"/>
      <c r="AR35" s="509"/>
      <c r="AS35" s="509"/>
      <c r="AT35" s="805"/>
      <c r="AU35" s="805"/>
      <c r="AV35" s="799"/>
      <c r="AW35" s="799"/>
    </row>
    <row r="36" spans="1:49">
      <c r="A36" s="477" t="s">
        <v>162</v>
      </c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612"/>
      <c r="P36" s="399"/>
      <c r="Q36" s="399"/>
      <c r="R36" s="399"/>
      <c r="S36" s="399"/>
      <c r="T36" s="399"/>
      <c r="U36" s="399"/>
      <c r="V36" s="399"/>
      <c r="W36" s="399"/>
      <c r="X36" s="645"/>
      <c r="Y36" s="645"/>
      <c r="Z36" s="567"/>
      <c r="AA36" s="750"/>
      <c r="AB36" s="806">
        <v>1679</v>
      </c>
      <c r="AC36" s="399"/>
      <c r="AD36" s="567"/>
      <c r="AE36" s="399"/>
      <c r="AF36" s="567"/>
      <c r="AG36" s="399"/>
      <c r="AH36" s="399"/>
      <c r="AI36" s="399"/>
      <c r="AJ36" s="552"/>
      <c r="AK36" s="552"/>
      <c r="AL36" s="542"/>
      <c r="AM36" s="542"/>
      <c r="AN36" s="511"/>
      <c r="AO36" s="511"/>
      <c r="AP36" s="567">
        <f>AD36+AF36+Z36</f>
        <v>0</v>
      </c>
      <c r="AQ36" s="567"/>
      <c r="AR36" s="509"/>
      <c r="AS36" s="509"/>
      <c r="AT36" s="805"/>
      <c r="AU36" s="805"/>
      <c r="AV36" s="872">
        <f>AB36</f>
        <v>1679</v>
      </c>
      <c r="AW36" s="872">
        <f>AC36</f>
        <v>0</v>
      </c>
    </row>
    <row r="37" spans="1:49">
      <c r="A37" s="477" t="s">
        <v>163</v>
      </c>
      <c r="B37" s="399"/>
      <c r="C37" s="399"/>
      <c r="D37" s="399"/>
      <c r="E37" s="399"/>
      <c r="F37" s="399"/>
      <c r="G37" s="399"/>
      <c r="H37" s="399"/>
      <c r="I37" s="399"/>
      <c r="J37" s="399"/>
      <c r="K37" s="399"/>
      <c r="L37" s="399"/>
      <c r="M37" s="399"/>
      <c r="N37" s="399"/>
      <c r="O37" s="612"/>
      <c r="P37" s="399"/>
      <c r="Q37" s="399"/>
      <c r="R37" s="399"/>
      <c r="S37" s="399"/>
      <c r="T37" s="399"/>
      <c r="U37" s="399"/>
      <c r="V37" s="399"/>
      <c r="W37" s="399"/>
      <c r="X37" s="399"/>
      <c r="Y37" s="399"/>
      <c r="Z37" s="514"/>
      <c r="AA37" s="750"/>
      <c r="AB37" s="399"/>
      <c r="AC37" s="399"/>
      <c r="AD37" s="399"/>
      <c r="AE37" s="399"/>
      <c r="AF37" s="399"/>
      <c r="AG37" s="399"/>
      <c r="AH37" s="399"/>
      <c r="AI37" s="399"/>
      <c r="AJ37" s="552"/>
      <c r="AK37" s="552"/>
      <c r="AL37" s="542"/>
      <c r="AM37" s="542"/>
      <c r="AN37" s="511"/>
      <c r="AO37" s="511"/>
      <c r="AP37" s="567"/>
      <c r="AQ37" s="567"/>
      <c r="AR37" s="509"/>
      <c r="AS37" s="509"/>
      <c r="AT37" s="805"/>
      <c r="AU37" s="805"/>
      <c r="AV37" s="799"/>
      <c r="AW37" s="799"/>
    </row>
    <row r="38" spans="1:49">
      <c r="A38" s="477" t="s">
        <v>164</v>
      </c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542">
        <v>168</v>
      </c>
      <c r="M38" s="750">
        <v>-168</v>
      </c>
      <c r="N38" s="399"/>
      <c r="O38" s="612"/>
      <c r="P38" s="399"/>
      <c r="Q38" s="399"/>
      <c r="R38" s="399"/>
      <c r="S38" s="399"/>
      <c r="T38" s="399"/>
      <c r="U38" s="399"/>
      <c r="V38" s="399"/>
      <c r="W38" s="399"/>
      <c r="X38" s="399"/>
      <c r="Y38" s="399"/>
      <c r="AB38" s="552">
        <v>130</v>
      </c>
      <c r="AC38" s="399"/>
      <c r="AD38" s="567">
        <v>130</v>
      </c>
      <c r="AE38" s="399"/>
      <c r="AF38" s="567">
        <v>130</v>
      </c>
      <c r="AG38" s="399"/>
      <c r="AH38" s="399"/>
      <c r="AI38" s="399"/>
      <c r="AJ38" s="552">
        <f>AB38</f>
        <v>130</v>
      </c>
      <c r="AK38" s="552"/>
      <c r="AL38" s="542">
        <f>L38</f>
        <v>168</v>
      </c>
      <c r="AM38" s="542">
        <f>M38</f>
        <v>-168</v>
      </c>
      <c r="AN38" s="511"/>
      <c r="AO38" s="511"/>
      <c r="AP38" s="567">
        <f>AF38+AD38</f>
        <v>260</v>
      </c>
      <c r="AQ38" s="567">
        <f>AG38+AE38+AC38</f>
        <v>0</v>
      </c>
      <c r="AR38" s="509"/>
      <c r="AS38" s="509"/>
      <c r="AT38" s="805"/>
      <c r="AU38" s="805"/>
      <c r="AV38" s="799"/>
      <c r="AW38" s="799"/>
    </row>
    <row r="39" spans="1:49">
      <c r="A39" s="477" t="s">
        <v>165</v>
      </c>
      <c r="B39" s="552"/>
      <c r="C39" s="399"/>
      <c r="D39" s="399"/>
      <c r="E39" s="399"/>
      <c r="F39" s="399"/>
      <c r="G39" s="399"/>
      <c r="H39" s="399"/>
      <c r="I39" s="399"/>
      <c r="J39" s="399"/>
      <c r="K39" s="399"/>
      <c r="L39" s="399"/>
      <c r="M39" s="399"/>
      <c r="N39" s="399"/>
      <c r="O39" s="612"/>
      <c r="P39" s="399"/>
      <c r="Q39" s="399"/>
      <c r="R39" s="399"/>
      <c r="S39" s="399"/>
      <c r="T39" s="399"/>
      <c r="U39" s="399"/>
      <c r="V39" s="399"/>
      <c r="W39" s="399"/>
      <c r="X39" s="399"/>
      <c r="Y39" s="399"/>
      <c r="Z39" s="514"/>
      <c r="AA39" s="750"/>
      <c r="AB39" s="552">
        <v>30</v>
      </c>
      <c r="AC39" s="399"/>
      <c r="AD39" s="399"/>
      <c r="AE39" s="399"/>
      <c r="AF39" s="399"/>
      <c r="AG39" s="399"/>
      <c r="AH39" s="399"/>
      <c r="AI39" s="399"/>
      <c r="AJ39" s="552">
        <f>AB39</f>
        <v>30</v>
      </c>
      <c r="AK39" s="552">
        <f>AC39</f>
        <v>0</v>
      </c>
      <c r="AL39" s="542"/>
      <c r="AM39" s="542"/>
      <c r="AN39" s="511"/>
      <c r="AO39" s="511"/>
      <c r="AP39" s="567"/>
      <c r="AQ39" s="567"/>
      <c r="AR39" s="509"/>
      <c r="AS39" s="509"/>
      <c r="AT39" s="805"/>
      <c r="AU39" s="805"/>
      <c r="AV39" s="799"/>
      <c r="AW39" s="799"/>
    </row>
    <row r="40" spans="1:49">
      <c r="A40" s="629" t="str">
        <f>'AVP  Health'!A46</f>
        <v>Other Expense</v>
      </c>
      <c r="B40" s="630"/>
      <c r="C40" s="630"/>
      <c r="D40" s="630"/>
      <c r="E40" s="630"/>
      <c r="F40" s="630"/>
      <c r="G40" s="630"/>
      <c r="H40" s="630"/>
      <c r="I40" s="630"/>
      <c r="J40" s="630"/>
      <c r="K40" s="630"/>
      <c r="L40" s="630"/>
      <c r="M40" s="630"/>
      <c r="N40" s="630"/>
      <c r="O40" s="631"/>
      <c r="P40" s="630"/>
      <c r="Q40" s="630"/>
      <c r="R40" s="630"/>
      <c r="S40" s="630"/>
      <c r="T40" s="630"/>
      <c r="U40" s="630"/>
      <c r="V40" s="630"/>
      <c r="W40" s="630"/>
      <c r="X40" s="630"/>
      <c r="Y40" s="630"/>
      <c r="Z40" s="630"/>
      <c r="AA40" s="768"/>
      <c r="AB40" s="630"/>
      <c r="AC40" s="630"/>
      <c r="AD40" s="630"/>
      <c r="AE40" s="630"/>
      <c r="AF40" s="630"/>
      <c r="AG40" s="630"/>
      <c r="AH40" s="630"/>
      <c r="AI40" s="630"/>
      <c r="AJ40" s="630"/>
      <c r="AK40" s="630"/>
      <c r="AL40" s="629"/>
      <c r="AM40" s="629"/>
      <c r="AN40" s="629"/>
      <c r="AO40" s="629"/>
      <c r="AP40" s="629"/>
      <c r="AQ40" s="629"/>
      <c r="AR40" s="509"/>
      <c r="AS40" s="509"/>
      <c r="AT40" s="805"/>
      <c r="AU40" s="805"/>
      <c r="AV40" s="799"/>
      <c r="AW40" s="799"/>
    </row>
    <row r="41" spans="1:49">
      <c r="A41" s="491" t="str">
        <f>'AVP  Health'!A47</f>
        <v>Community Relations</v>
      </c>
      <c r="B41" s="399"/>
      <c r="C41" s="399"/>
      <c r="D41" s="399"/>
      <c r="E41" s="399"/>
      <c r="F41" s="399"/>
      <c r="G41" s="399"/>
      <c r="H41" s="399"/>
      <c r="I41" s="399"/>
      <c r="J41" s="399"/>
      <c r="K41" s="399"/>
      <c r="L41" s="399"/>
      <c r="M41" s="399"/>
      <c r="N41" s="399"/>
      <c r="O41" s="612"/>
      <c r="P41" s="399"/>
      <c r="Q41" s="399"/>
      <c r="R41" s="552"/>
      <c r="S41" s="399"/>
      <c r="T41" s="399"/>
      <c r="U41" s="399"/>
      <c r="V41" s="399"/>
      <c r="W41" s="399"/>
      <c r="X41" s="399"/>
      <c r="Y41" s="399"/>
      <c r="Z41" s="514"/>
      <c r="AA41" s="750"/>
      <c r="AB41" s="399"/>
      <c r="AC41" s="399"/>
      <c r="AD41" s="399"/>
      <c r="AE41" s="399"/>
      <c r="AF41" s="703">
        <v>25.32</v>
      </c>
      <c r="AG41" s="399"/>
      <c r="AH41" s="399"/>
      <c r="AI41" s="399"/>
      <c r="AJ41" s="552">
        <f>R41</f>
        <v>0</v>
      </c>
      <c r="AK41" s="552">
        <f>S41</f>
        <v>0</v>
      </c>
      <c r="AL41" s="542">
        <f>AF41</f>
        <v>25.32</v>
      </c>
      <c r="AM41" s="542">
        <f>AG41</f>
        <v>0</v>
      </c>
      <c r="AN41" s="511"/>
      <c r="AO41" s="511"/>
      <c r="AP41" s="567"/>
      <c r="AQ41" s="567"/>
      <c r="AR41" s="509"/>
      <c r="AS41" s="509"/>
      <c r="AT41" s="805"/>
      <c r="AU41" s="805"/>
      <c r="AV41" s="799"/>
      <c r="AW41" s="799"/>
    </row>
    <row r="42" spans="1:49">
      <c r="A42" s="477" t="s">
        <v>171</v>
      </c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399"/>
      <c r="O42" s="612"/>
      <c r="P42" s="399"/>
      <c r="Q42" s="399"/>
      <c r="R42" s="399"/>
      <c r="S42" s="399"/>
      <c r="T42" s="399"/>
      <c r="U42" s="399"/>
      <c r="V42" s="481"/>
      <c r="W42" s="481"/>
      <c r="X42" s="481">
        <v>1000</v>
      </c>
      <c r="Y42" s="481"/>
      <c r="Z42" s="514"/>
      <c r="AA42" s="750"/>
      <c r="AB42" s="371"/>
      <c r="AC42" s="399"/>
      <c r="AD42" s="399"/>
      <c r="AE42" s="399"/>
      <c r="AF42" s="399"/>
      <c r="AG42" s="399"/>
      <c r="AH42" s="399"/>
      <c r="AI42" s="399"/>
      <c r="AJ42" s="552"/>
      <c r="AK42" s="552"/>
      <c r="AL42" s="542">
        <f>X42</f>
        <v>1000</v>
      </c>
      <c r="AM42" s="542">
        <f>Y42</f>
        <v>0</v>
      </c>
      <c r="AN42" s="511"/>
      <c r="AO42" s="511"/>
      <c r="AP42" s="567"/>
      <c r="AQ42" s="567"/>
      <c r="AR42" s="509"/>
      <c r="AS42" s="509"/>
      <c r="AT42" s="805"/>
      <c r="AU42" s="805"/>
      <c r="AV42" s="799"/>
      <c r="AW42" s="799"/>
    </row>
    <row r="43" spans="1:49">
      <c r="A43" s="483"/>
      <c r="B43" s="492"/>
      <c r="C43" s="492"/>
      <c r="D43" s="492"/>
      <c r="E43" s="492"/>
      <c r="F43" s="492"/>
      <c r="G43" s="492"/>
      <c r="H43" s="492"/>
      <c r="I43" s="492"/>
      <c r="J43" s="492"/>
      <c r="K43" s="492"/>
      <c r="L43" s="492"/>
      <c r="M43" s="492"/>
      <c r="N43" s="492"/>
      <c r="O43" s="614"/>
      <c r="P43" s="492"/>
      <c r="Q43" s="492"/>
      <c r="R43" s="492"/>
      <c r="S43" s="492"/>
      <c r="T43" s="492"/>
      <c r="U43" s="492"/>
      <c r="V43" s="492"/>
      <c r="W43" s="492"/>
      <c r="X43" s="492"/>
      <c r="Y43" s="492"/>
      <c r="Z43" s="400"/>
      <c r="AA43" s="769"/>
      <c r="AB43" s="540"/>
      <c r="AC43" s="540"/>
      <c r="AD43" s="540"/>
      <c r="AE43" s="540"/>
      <c r="AF43" s="540"/>
      <c r="AG43" s="540"/>
      <c r="AH43" s="492"/>
      <c r="AI43" s="492"/>
      <c r="AJ43" s="557"/>
      <c r="AK43" s="557"/>
      <c r="AL43" s="542"/>
      <c r="AM43" s="542"/>
      <c r="AN43" s="511"/>
      <c r="AO43" s="511"/>
      <c r="AP43" s="567"/>
      <c r="AQ43" s="567"/>
      <c r="AR43" s="509"/>
      <c r="AS43" s="509"/>
      <c r="AT43" s="805"/>
      <c r="AU43" s="805"/>
      <c r="AV43" s="799"/>
      <c r="AW43" s="799"/>
    </row>
    <row r="44" spans="1:49">
      <c r="A44" s="320" t="s">
        <v>28</v>
      </c>
      <c r="B44" s="514">
        <f>SUM(B3:B43)</f>
        <v>5831.24</v>
      </c>
      <c r="C44" s="514">
        <f t="shared" ref="C44:AW44" si="0">SUM(C3:C43)</f>
        <v>-2351.41</v>
      </c>
      <c r="D44" s="514">
        <f t="shared" si="0"/>
        <v>0</v>
      </c>
      <c r="E44" s="514">
        <f t="shared" si="0"/>
        <v>-2188</v>
      </c>
      <c r="F44" s="514"/>
      <c r="G44" s="514"/>
      <c r="H44" s="514">
        <f t="shared" si="0"/>
        <v>0</v>
      </c>
      <c r="I44" s="514">
        <f t="shared" si="0"/>
        <v>-171</v>
      </c>
      <c r="J44" s="514"/>
      <c r="K44" s="514"/>
      <c r="L44" s="514">
        <f t="shared" si="0"/>
        <v>1748</v>
      </c>
      <c r="M44" s="514">
        <f t="shared" si="0"/>
        <v>-1139.6199999999999</v>
      </c>
      <c r="N44" s="514">
        <f t="shared" si="0"/>
        <v>5200</v>
      </c>
      <c r="O44" s="514">
        <f t="shared" si="0"/>
        <v>0</v>
      </c>
      <c r="P44" s="514">
        <f t="shared" si="0"/>
        <v>10005</v>
      </c>
      <c r="Q44" s="514">
        <f t="shared" si="0"/>
        <v>0</v>
      </c>
      <c r="R44" s="514">
        <f>SUM(R3:R43)</f>
        <v>-1348.3400000000001</v>
      </c>
      <c r="S44" s="514">
        <f>SUM(S3:S43)</f>
        <v>18612.7</v>
      </c>
      <c r="T44" s="514">
        <f t="shared" ref="T44:U44" si="1">SUM(T3:T43)</f>
        <v>4865.6000000000004</v>
      </c>
      <c r="U44" s="514">
        <f t="shared" si="1"/>
        <v>0</v>
      </c>
      <c r="V44" s="514">
        <f>SUM(V3:V43)</f>
        <v>11500</v>
      </c>
      <c r="W44" s="514">
        <f t="shared" si="0"/>
        <v>0</v>
      </c>
      <c r="X44" s="514">
        <f t="shared" si="0"/>
        <v>5500</v>
      </c>
      <c r="Y44" s="514">
        <f t="shared" si="0"/>
        <v>0</v>
      </c>
      <c r="Z44" s="514">
        <f t="shared" si="0"/>
        <v>2206.96</v>
      </c>
      <c r="AA44" s="514">
        <f t="shared" si="0"/>
        <v>0</v>
      </c>
      <c r="AB44" s="514">
        <f t="shared" si="0"/>
        <v>4942.96</v>
      </c>
      <c r="AC44" s="514">
        <f t="shared" si="0"/>
        <v>0</v>
      </c>
      <c r="AD44" s="514">
        <f t="shared" si="0"/>
        <v>2296.46</v>
      </c>
      <c r="AE44" s="514">
        <f t="shared" si="0"/>
        <v>0</v>
      </c>
      <c r="AF44" s="514">
        <f t="shared" si="0"/>
        <v>2005.32</v>
      </c>
      <c r="AG44" s="514">
        <f t="shared" si="0"/>
        <v>0</v>
      </c>
      <c r="AH44" s="514">
        <f t="shared" si="0"/>
        <v>150</v>
      </c>
      <c r="AI44" s="514">
        <f t="shared" si="0"/>
        <v>0</v>
      </c>
      <c r="AJ44" s="514">
        <f t="shared" si="0"/>
        <v>20897.12</v>
      </c>
      <c r="AK44" s="514">
        <f t="shared" si="0"/>
        <v>-1045.75</v>
      </c>
      <c r="AL44" s="985">
        <f>SUM(AL3:AL43)</f>
        <v>17478.620000000003</v>
      </c>
      <c r="AM44" s="514">
        <f t="shared" si="0"/>
        <v>-2502.86</v>
      </c>
      <c r="AN44" s="514">
        <f>SUM(AN3:AN43)</f>
        <v>-10000</v>
      </c>
      <c r="AO44" s="514">
        <f t="shared" si="0"/>
        <v>18612.7</v>
      </c>
      <c r="AP44" s="514">
        <f t="shared" si="0"/>
        <v>20494.5</v>
      </c>
      <c r="AQ44" s="514">
        <f t="shared" si="0"/>
        <v>-2301.42</v>
      </c>
      <c r="AR44" s="514">
        <f t="shared" si="0"/>
        <v>2500</v>
      </c>
      <c r="AS44" s="514">
        <f t="shared" si="0"/>
        <v>0</v>
      </c>
      <c r="AT44" s="514">
        <f t="shared" si="0"/>
        <v>1500</v>
      </c>
      <c r="AU44" s="514">
        <f t="shared" si="0"/>
        <v>0</v>
      </c>
      <c r="AV44" s="514">
        <f t="shared" si="0"/>
        <v>2032.96</v>
      </c>
      <c r="AW44" s="514">
        <f t="shared" si="0"/>
        <v>0</v>
      </c>
    </row>
    <row r="45" spans="1:49">
      <c r="B45" s="351"/>
      <c r="C45" s="351"/>
      <c r="D45" s="351"/>
      <c r="E45" s="351"/>
      <c r="F45" s="351"/>
      <c r="G45" s="351"/>
      <c r="H45" s="351"/>
      <c r="I45" s="351"/>
      <c r="J45" s="351"/>
      <c r="K45" s="351"/>
      <c r="L45" s="351"/>
      <c r="M45" s="351"/>
      <c r="N45" s="351"/>
      <c r="O45" s="351"/>
      <c r="P45" s="351"/>
      <c r="Q45" s="351"/>
      <c r="R45" s="351"/>
      <c r="S45" s="351"/>
      <c r="T45" s="351"/>
      <c r="U45" s="351"/>
      <c r="V45" s="558"/>
      <c r="W45" s="558"/>
      <c r="X45" s="558"/>
      <c r="Y45" s="558"/>
      <c r="Z45" s="353"/>
      <c r="AA45" s="770"/>
      <c r="AB45" s="465"/>
      <c r="AC45" s="465"/>
      <c r="AD45" s="766"/>
      <c r="AE45" s="465"/>
      <c r="AF45" s="465"/>
      <c r="AG45" s="465"/>
      <c r="AH45" s="465"/>
      <c r="AI45" s="351"/>
      <c r="AJ45" s="471"/>
      <c r="AK45" s="471"/>
      <c r="AL45" s="471"/>
      <c r="AM45" s="471"/>
      <c r="AN45" s="471"/>
      <c r="AO45" s="471"/>
    </row>
    <row r="46" spans="1:49">
      <c r="A46" s="445"/>
      <c r="B46" s="351"/>
      <c r="C46" s="351"/>
      <c r="D46" s="351"/>
      <c r="E46" s="351"/>
      <c r="F46" s="351"/>
      <c r="G46" s="351"/>
      <c r="H46" s="351"/>
      <c r="I46" s="351"/>
      <c r="J46" s="351"/>
      <c r="K46" s="351"/>
      <c r="L46" s="351"/>
      <c r="M46" s="351"/>
      <c r="N46" s="351"/>
      <c r="O46" s="351"/>
      <c r="P46" s="351"/>
      <c r="Q46" s="351"/>
      <c r="R46" s="351"/>
      <c r="S46" s="351"/>
      <c r="T46" s="351"/>
      <c r="U46" s="351"/>
      <c r="V46" s="558"/>
      <c r="W46" s="558"/>
      <c r="X46" s="558"/>
      <c r="Y46" s="558"/>
      <c r="Z46" s="559"/>
      <c r="AA46" s="771"/>
      <c r="AB46" s="471"/>
      <c r="AC46" s="471"/>
      <c r="AD46" s="471"/>
      <c r="AE46" s="471"/>
      <c r="AF46" s="471"/>
      <c r="AG46" s="471"/>
      <c r="AH46" s="471"/>
      <c r="AI46" s="471"/>
      <c r="AJ46" s="786">
        <f>AL44+AJ44+AP44+AR44+AT44+AV44</f>
        <v>64903.200000000004</v>
      </c>
      <c r="AK46" s="788">
        <f>AM44+AK44+AQ44+AO46+AS44+AU44+AW44+AO44</f>
        <v>12762.67</v>
      </c>
      <c r="AL46" s="560"/>
      <c r="AM46" s="560"/>
      <c r="AN46" s="728"/>
      <c r="AO46" s="728"/>
    </row>
    <row r="47" spans="1:49">
      <c r="A47" s="292"/>
      <c r="B47" s="351"/>
      <c r="C47" s="351"/>
      <c r="D47" s="351"/>
      <c r="E47" s="351"/>
      <c r="F47" s="351"/>
      <c r="G47" s="351"/>
      <c r="H47" s="351"/>
      <c r="I47" s="351"/>
      <c r="J47" s="351"/>
      <c r="K47" s="351"/>
      <c r="L47" s="351"/>
      <c r="M47" s="351"/>
      <c r="N47" s="351"/>
      <c r="O47" s="351"/>
      <c r="P47" s="351"/>
      <c r="Q47" s="351"/>
      <c r="R47" s="351"/>
      <c r="S47" s="351"/>
      <c r="T47" s="351"/>
      <c r="U47" s="351"/>
      <c r="V47" s="351"/>
      <c r="W47" s="351"/>
      <c r="X47" s="351"/>
      <c r="Y47" s="351"/>
      <c r="Z47" s="353"/>
      <c r="AA47" s="770"/>
      <c r="AB47" s="465"/>
      <c r="AC47" s="465"/>
      <c r="AD47" s="471"/>
      <c r="AE47" s="471"/>
      <c r="AF47" s="471"/>
      <c r="AG47" s="471"/>
      <c r="AH47" s="471"/>
      <c r="AI47" s="471"/>
      <c r="AJ47" s="789">
        <f>B44+P44+V44+X44+Z44+AB44+AH44+AD44+R44+N44+AF44+L44+T44</f>
        <v>54903.199999999997</v>
      </c>
      <c r="AK47" s="786">
        <f>AI44+AC44+AA44+W44+Q44+I44+E44+D44+C44+AE44+S44+O44+AG44+M44</f>
        <v>12762.670000000002</v>
      </c>
      <c r="AL47" s="465"/>
      <c r="AM47" s="465"/>
      <c r="AN47" s="465"/>
      <c r="AO47" s="465"/>
    </row>
    <row r="48" spans="1:49">
      <c r="A48" s="292"/>
      <c r="B48" s="351"/>
      <c r="C48" s="351"/>
      <c r="D48" s="351"/>
      <c r="E48" s="351"/>
      <c r="F48" s="351"/>
      <c r="G48" s="351"/>
      <c r="H48" s="351"/>
      <c r="I48" s="351"/>
      <c r="J48" s="351"/>
      <c r="K48" s="351"/>
      <c r="L48" s="351"/>
      <c r="M48" s="351"/>
      <c r="N48" s="351"/>
      <c r="O48" s="351"/>
      <c r="P48" s="351"/>
      <c r="Q48" s="351"/>
      <c r="R48" s="351"/>
      <c r="S48" s="351"/>
      <c r="T48" s="351"/>
      <c r="U48" s="351"/>
      <c r="V48" s="351"/>
      <c r="W48" s="351"/>
      <c r="X48" s="351"/>
      <c r="Y48" s="351"/>
      <c r="Z48" s="353"/>
      <c r="AA48" s="771"/>
      <c r="AB48" s="471"/>
      <c r="AC48" s="471"/>
      <c r="AD48" s="471"/>
      <c r="AE48" s="471"/>
      <c r="AF48" s="471"/>
      <c r="AG48" s="471"/>
      <c r="AH48" s="351"/>
      <c r="AI48" s="351"/>
      <c r="AJ48" s="470">
        <f>AJ46-AJ47</f>
        <v>10000.000000000007</v>
      </c>
      <c r="AK48" s="517">
        <f>AK46-AK47</f>
        <v>0</v>
      </c>
      <c r="AL48" s="471"/>
      <c r="AM48" s="471"/>
      <c r="AN48" s="471"/>
      <c r="AO48" s="471"/>
    </row>
    <row r="49" spans="1:41">
      <c r="A49" s="292"/>
      <c r="B49" s="351"/>
      <c r="C49" s="351"/>
      <c r="D49" s="351"/>
      <c r="E49" s="351"/>
      <c r="F49" s="351"/>
      <c r="G49" s="351"/>
      <c r="H49" s="351"/>
      <c r="I49" s="351"/>
      <c r="J49" s="351"/>
      <c r="K49" s="351"/>
      <c r="L49" s="351"/>
      <c r="M49" s="351"/>
      <c r="N49" s="351"/>
      <c r="O49" s="351"/>
      <c r="P49" s="351"/>
      <c r="Q49" s="351"/>
      <c r="R49" s="351"/>
      <c r="S49" s="351"/>
      <c r="T49" s="351"/>
      <c r="U49" s="351"/>
      <c r="V49" s="351"/>
      <c r="W49" s="351"/>
      <c r="X49" s="351"/>
      <c r="Y49" s="351"/>
      <c r="Z49" s="353"/>
      <c r="AA49" s="771"/>
      <c r="AB49" s="471"/>
      <c r="AC49" s="471"/>
      <c r="AD49" s="470"/>
      <c r="AE49" s="470"/>
      <c r="AF49" s="470"/>
      <c r="AG49" s="470"/>
      <c r="AH49" s="351"/>
      <c r="AI49" s="351"/>
      <c r="AJ49" s="471"/>
      <c r="AK49" s="471"/>
      <c r="AL49" s="471"/>
      <c r="AM49" s="471"/>
      <c r="AN49" s="471"/>
      <c r="AO49" s="471"/>
    </row>
    <row r="50" spans="1:41">
      <c r="A50" s="292"/>
      <c r="B50" s="351"/>
      <c r="C50" s="351"/>
      <c r="D50" s="351"/>
      <c r="E50" s="351"/>
      <c r="F50" s="351"/>
      <c r="G50" s="351"/>
      <c r="H50" s="351"/>
      <c r="I50" s="351"/>
      <c r="J50" s="351"/>
      <c r="K50" s="351"/>
      <c r="L50" s="351"/>
      <c r="M50" s="351"/>
      <c r="N50" s="351"/>
      <c r="O50" s="351"/>
      <c r="P50" s="351"/>
      <c r="Q50" s="351"/>
      <c r="R50" s="351"/>
      <c r="S50" s="351"/>
      <c r="T50" s="351"/>
      <c r="U50" s="351"/>
      <c r="V50" s="351"/>
      <c r="W50" s="351"/>
      <c r="X50" s="351"/>
      <c r="Y50" s="351"/>
      <c r="Z50" s="559"/>
      <c r="AA50" s="771"/>
      <c r="AB50" s="471"/>
      <c r="AC50" s="471"/>
      <c r="AD50" s="471"/>
      <c r="AE50" s="471"/>
      <c r="AF50" s="471"/>
      <c r="AG50" s="471"/>
      <c r="AH50" s="351"/>
      <c r="AI50" s="351"/>
      <c r="AJ50" s="471"/>
      <c r="AK50" s="471"/>
      <c r="AL50" s="471"/>
      <c r="AM50" s="471"/>
      <c r="AN50" s="471"/>
      <c r="AO50" s="471"/>
    </row>
    <row r="51" spans="1:41">
      <c r="A51" s="292"/>
      <c r="B51" s="351"/>
      <c r="C51" s="351"/>
      <c r="D51" s="351"/>
      <c r="E51" s="351"/>
      <c r="F51" s="351"/>
      <c r="G51" s="351"/>
      <c r="H51" s="351"/>
      <c r="I51" s="351"/>
      <c r="J51" s="351"/>
      <c r="K51" s="351"/>
      <c r="L51" s="351"/>
      <c r="M51" s="351"/>
      <c r="N51" s="351"/>
      <c r="O51" s="351"/>
      <c r="P51" s="351"/>
      <c r="Q51" s="351"/>
      <c r="R51" s="351"/>
      <c r="S51" s="351"/>
      <c r="T51" s="351"/>
      <c r="U51" s="351"/>
      <c r="V51" s="351"/>
      <c r="W51" s="351"/>
      <c r="X51" s="351"/>
      <c r="Y51" s="351"/>
      <c r="Z51" s="559"/>
      <c r="AA51" s="771"/>
      <c r="AB51" s="471"/>
      <c r="AC51" s="471"/>
      <c r="AD51" s="471"/>
      <c r="AE51" s="471"/>
      <c r="AF51" s="471"/>
      <c r="AG51" s="471"/>
      <c r="AH51" s="351"/>
      <c r="AI51" s="351"/>
      <c r="AJ51" s="471"/>
      <c r="AK51" s="471"/>
      <c r="AL51" s="471"/>
      <c r="AM51" s="471"/>
      <c r="AN51" s="471"/>
      <c r="AO51" s="471"/>
    </row>
    <row r="52" spans="1:41">
      <c r="A52" s="292"/>
      <c r="B52" s="351"/>
      <c r="C52" s="351"/>
      <c r="D52" s="351"/>
      <c r="E52" s="351"/>
      <c r="F52" s="351"/>
      <c r="G52" s="351"/>
      <c r="H52" s="351"/>
      <c r="I52" s="351"/>
      <c r="J52" s="351"/>
      <c r="K52" s="351"/>
      <c r="L52" s="351"/>
      <c r="M52" s="351"/>
      <c r="N52" s="351"/>
      <c r="O52" s="351"/>
      <c r="P52" s="351"/>
      <c r="Q52" s="351"/>
      <c r="R52" s="351"/>
      <c r="S52" s="351"/>
      <c r="T52" s="351"/>
      <c r="U52" s="351"/>
      <c r="V52" s="351"/>
      <c r="W52" s="351"/>
      <c r="X52" s="351"/>
      <c r="Y52" s="351"/>
      <c r="Z52" s="559"/>
      <c r="AA52" s="771"/>
      <c r="AB52" s="471"/>
      <c r="AC52" s="471"/>
      <c r="AD52" s="471"/>
      <c r="AE52" s="471"/>
      <c r="AF52" s="471"/>
      <c r="AG52" s="471"/>
      <c r="AH52" s="351"/>
      <c r="AI52" s="351"/>
      <c r="AJ52" s="471"/>
      <c r="AK52" s="471"/>
      <c r="AL52" s="471"/>
      <c r="AM52" s="471"/>
      <c r="AN52" s="471"/>
      <c r="AO52" s="471"/>
    </row>
    <row r="53" spans="1:41">
      <c r="A53" s="292"/>
      <c r="B53" s="351"/>
      <c r="C53" s="351"/>
      <c r="D53" s="351"/>
      <c r="E53" s="351"/>
      <c r="F53" s="351"/>
      <c r="G53" s="351"/>
      <c r="H53" s="351"/>
      <c r="I53" s="351"/>
      <c r="J53" s="351"/>
      <c r="K53" s="351"/>
      <c r="L53" s="351"/>
      <c r="M53" s="351"/>
      <c r="N53" s="351"/>
      <c r="O53" s="351"/>
      <c r="P53" s="351"/>
      <c r="Q53" s="351"/>
      <c r="R53" s="351"/>
      <c r="S53" s="351"/>
      <c r="T53" s="351"/>
      <c r="U53" s="351"/>
      <c r="V53" s="351"/>
      <c r="W53" s="351"/>
      <c r="X53" s="351"/>
      <c r="Y53" s="351"/>
      <c r="Z53" s="559"/>
      <c r="AA53" s="771"/>
      <c r="AB53" s="471"/>
      <c r="AC53" s="471"/>
      <c r="AD53" s="471"/>
      <c r="AE53" s="471"/>
      <c r="AF53" s="471"/>
      <c r="AG53" s="471"/>
      <c r="AH53" s="351"/>
      <c r="AI53" s="351"/>
      <c r="AJ53" s="471"/>
      <c r="AK53" s="471"/>
      <c r="AL53" s="471"/>
      <c r="AM53" s="471"/>
      <c r="AN53" s="471"/>
      <c r="AO53" s="471"/>
    </row>
    <row r="54" spans="1:41">
      <c r="A54" s="292"/>
      <c r="B54" s="351"/>
      <c r="C54" s="351"/>
      <c r="D54" s="351"/>
      <c r="E54" s="351"/>
      <c r="F54" s="351"/>
      <c r="G54" s="351"/>
      <c r="H54" s="351"/>
      <c r="I54" s="351"/>
      <c r="J54" s="351"/>
      <c r="K54" s="351"/>
      <c r="L54" s="351"/>
      <c r="M54" s="351"/>
      <c r="N54" s="351"/>
      <c r="O54" s="351"/>
      <c r="P54" s="351"/>
      <c r="Q54" s="351"/>
      <c r="R54" s="351"/>
      <c r="S54" s="351"/>
      <c r="T54" s="351"/>
      <c r="U54" s="351"/>
      <c r="V54" s="351"/>
      <c r="W54" s="351"/>
      <c r="X54" s="351"/>
      <c r="Y54" s="351"/>
      <c r="Z54" s="559"/>
      <c r="AA54" s="771"/>
      <c r="AB54" s="471"/>
      <c r="AC54" s="471"/>
      <c r="AD54" s="471"/>
      <c r="AE54" s="471"/>
      <c r="AF54" s="471"/>
      <c r="AG54" s="471"/>
      <c r="AH54" s="1"/>
      <c r="AI54" s="351"/>
      <c r="AJ54" s="471"/>
      <c r="AK54" s="471"/>
      <c r="AL54" s="471"/>
      <c r="AM54" s="471"/>
      <c r="AN54" s="471"/>
      <c r="AO54" s="471"/>
    </row>
    <row r="55" spans="1:41">
      <c r="A55" s="292"/>
      <c r="B55" s="351"/>
      <c r="C55" s="351"/>
      <c r="D55" s="351"/>
      <c r="E55" s="351"/>
      <c r="F55" s="351"/>
      <c r="G55" s="351"/>
      <c r="H55" s="351"/>
      <c r="I55" s="351"/>
      <c r="J55" s="351"/>
      <c r="K55" s="351"/>
      <c r="L55" s="351"/>
      <c r="M55" s="351"/>
      <c r="N55" s="351"/>
      <c r="O55" s="351"/>
      <c r="P55" s="351"/>
      <c r="Q55" s="351"/>
      <c r="R55" s="351"/>
      <c r="S55" s="351"/>
      <c r="T55" s="351"/>
      <c r="U55" s="351"/>
      <c r="V55" s="351"/>
      <c r="W55" s="351"/>
      <c r="X55" s="351"/>
      <c r="Y55" s="351"/>
      <c r="Z55" s="559"/>
      <c r="AA55" s="771"/>
      <c r="AB55" s="471"/>
      <c r="AC55" s="471"/>
      <c r="AD55" s="471"/>
      <c r="AE55" s="471"/>
      <c r="AF55" s="471"/>
      <c r="AG55" s="471"/>
      <c r="AH55" s="351"/>
      <c r="AI55" s="351"/>
      <c r="AJ55" s="471"/>
      <c r="AK55" s="471"/>
      <c r="AL55" s="471"/>
      <c r="AM55" s="471"/>
      <c r="AN55" s="471"/>
      <c r="AO55" s="471"/>
    </row>
    <row r="56" spans="1:41">
      <c r="A56" s="292"/>
      <c r="B56" s="351"/>
      <c r="C56" s="351"/>
      <c r="D56" s="351"/>
      <c r="E56" s="351"/>
      <c r="F56" s="351"/>
      <c r="G56" s="351"/>
      <c r="H56" s="351"/>
      <c r="I56" s="351"/>
      <c r="J56" s="351"/>
      <c r="K56" s="351"/>
      <c r="L56" s="351"/>
      <c r="M56" s="351"/>
      <c r="N56" s="351"/>
      <c r="O56" s="351"/>
      <c r="P56" s="351"/>
      <c r="Q56" s="351"/>
      <c r="R56" s="351"/>
      <c r="S56" s="351"/>
      <c r="T56" s="351"/>
      <c r="U56" s="351"/>
      <c r="V56" s="351"/>
      <c r="W56" s="351"/>
      <c r="X56" s="351"/>
      <c r="Y56" s="351"/>
      <c r="Z56" s="559"/>
      <c r="AA56" s="771"/>
      <c r="AB56" s="471"/>
      <c r="AC56" s="471"/>
      <c r="AD56" s="471"/>
      <c r="AE56" s="471"/>
      <c r="AF56" s="471"/>
      <c r="AG56" s="471"/>
      <c r="AH56" s="351"/>
      <c r="AI56" s="351"/>
      <c r="AJ56" s="471"/>
      <c r="AK56" s="471"/>
      <c r="AL56" s="471"/>
      <c r="AM56" s="471"/>
      <c r="AN56" s="471"/>
      <c r="AO56" s="471"/>
    </row>
    <row r="57" spans="1:41">
      <c r="A57" s="292"/>
      <c r="B57" s="351"/>
      <c r="C57" s="351"/>
      <c r="D57" s="351"/>
      <c r="E57" s="351"/>
      <c r="F57" s="351"/>
      <c r="G57" s="351"/>
      <c r="H57" s="351"/>
      <c r="I57" s="351"/>
      <c r="J57" s="351"/>
      <c r="K57" s="351"/>
      <c r="L57" s="351"/>
      <c r="M57" s="351"/>
      <c r="N57" s="351"/>
      <c r="O57" s="351"/>
      <c r="P57" s="351"/>
      <c r="Q57" s="351"/>
      <c r="R57" s="351"/>
      <c r="S57" s="351"/>
      <c r="T57" s="351"/>
      <c r="U57" s="351"/>
      <c r="V57" s="351"/>
      <c r="W57" s="351"/>
      <c r="X57" s="351"/>
      <c r="Y57" s="351"/>
      <c r="Z57" s="559"/>
      <c r="AA57" s="771"/>
      <c r="AB57" s="471"/>
      <c r="AC57" s="471"/>
      <c r="AD57" s="471"/>
      <c r="AE57" s="471"/>
      <c r="AF57" s="471"/>
      <c r="AG57" s="471"/>
      <c r="AH57" s="351"/>
      <c r="AI57" s="351"/>
      <c r="AJ57" s="471"/>
      <c r="AK57" s="471"/>
      <c r="AL57" s="471"/>
      <c r="AM57" s="471"/>
      <c r="AN57" s="471"/>
      <c r="AO57" s="471"/>
    </row>
    <row r="58" spans="1:41">
      <c r="A58" s="292"/>
    </row>
    <row r="59" spans="1:41">
      <c r="A59" s="292"/>
    </row>
  </sheetData>
  <mergeCells count="21">
    <mergeCell ref="AN1:AO1"/>
    <mergeCell ref="AR1:AS1"/>
    <mergeCell ref="AT1:AU1"/>
    <mergeCell ref="AV1:AW1"/>
    <mergeCell ref="AP1:AQ1"/>
    <mergeCell ref="AD1:AE1"/>
    <mergeCell ref="AB1:AC1"/>
    <mergeCell ref="AL1:AM1"/>
    <mergeCell ref="B1:I1"/>
    <mergeCell ref="P1:Q1"/>
    <mergeCell ref="V1:W1"/>
    <mergeCell ref="Z1:AA1"/>
    <mergeCell ref="R1:S1"/>
    <mergeCell ref="N1:O1"/>
    <mergeCell ref="L1:M1"/>
    <mergeCell ref="X1:Y1"/>
    <mergeCell ref="AF1:AG1"/>
    <mergeCell ref="AH1:AI1"/>
    <mergeCell ref="AJ1:AK1"/>
    <mergeCell ref="T1:U1"/>
    <mergeCell ref="J1:K1"/>
  </mergeCells>
  <printOptions gridLines="1"/>
  <pageMargins left="0.2" right="0.2" top="0.75" bottom="0.75" header="0.3" footer="0.3"/>
  <pageSetup paperSize="17" scale="59" orientation="landscape" r:id="rId1"/>
  <headerFooter>
    <oddHeader xml:space="preserve">&amp;L&amp;8 4/2/19&amp;CAnnual Giving
2019-2020
</oddHeader>
    <oddFooter>&amp;L&amp;A&amp;C&amp;BUSF Health Confidential&amp;B&amp;RPage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pageSetUpPr fitToPage="1"/>
  </sheetPr>
  <dimension ref="A1:AV104"/>
  <sheetViews>
    <sheetView view="pageLayout" topLeftCell="A7" zoomScaleNormal="80" workbookViewId="0">
      <selection activeCell="C42" sqref="C42"/>
    </sheetView>
  </sheetViews>
  <sheetFormatPr defaultColWidth="8.85546875" defaultRowHeight="15"/>
  <cols>
    <col min="1" max="1" width="34.42578125" style="1" bestFit="1" customWidth="1"/>
    <col min="2" max="2" width="11.28515625" style="321" bestFit="1" customWidth="1"/>
    <col min="3" max="3" width="14.28515625" style="765" bestFit="1" customWidth="1"/>
    <col min="4" max="4" width="10.5703125" style="321" bestFit="1" customWidth="1"/>
    <col min="5" max="6" width="11.28515625" style="321" bestFit="1" customWidth="1"/>
    <col min="7" max="7" width="10.5703125" style="321" bestFit="1" customWidth="1"/>
    <col min="8" max="8" width="11.5703125" style="321" bestFit="1" customWidth="1"/>
    <col min="9" max="9" width="11.42578125" style="321" bestFit="1" customWidth="1"/>
    <col min="10" max="11" width="10.5703125" style="321" bestFit="1" customWidth="1"/>
    <col min="12" max="13" width="10.85546875" style="321" bestFit="1" customWidth="1"/>
    <col min="14" max="14" width="11.42578125" style="321" bestFit="1" customWidth="1"/>
    <col min="15" max="15" width="11.28515625" style="321" bestFit="1" customWidth="1"/>
    <col min="16" max="16" width="10.5703125" style="321" bestFit="1" customWidth="1"/>
    <col min="17" max="17" width="6.5703125" style="321" bestFit="1" customWidth="1"/>
    <col min="18" max="18" width="11.5703125" style="321" bestFit="1" customWidth="1"/>
    <col min="19" max="20" width="11.42578125" style="321" bestFit="1" customWidth="1"/>
    <col min="21" max="21" width="10.7109375" style="321" bestFit="1" customWidth="1"/>
    <col min="22" max="22" width="10.85546875" style="321" bestFit="1" customWidth="1"/>
    <col min="23" max="23" width="11.42578125" style="321" bestFit="1" customWidth="1"/>
    <col min="24" max="24" width="11.5703125" style="321" bestFit="1" customWidth="1"/>
    <col min="25" max="25" width="11.28515625" style="321" bestFit="1" customWidth="1"/>
    <col min="26" max="26" width="10.5703125" style="321" bestFit="1" customWidth="1"/>
    <col min="27" max="27" width="8.85546875" style="321" bestFit="1" customWidth="1"/>
    <col min="28" max="28" width="10.5703125" style="321" bestFit="1" customWidth="1"/>
    <col min="29" max="29" width="8.85546875" style="321" bestFit="1" customWidth="1"/>
    <col min="30" max="30" width="10.5703125" style="321" bestFit="1" customWidth="1"/>
    <col min="31" max="31" width="7.42578125" style="321" bestFit="1" customWidth="1"/>
    <col min="32" max="34" width="9.7109375" style="321" customWidth="1"/>
    <col min="35" max="35" width="11.140625" style="321" customWidth="1"/>
    <col min="36" max="36" width="9.85546875" style="321" customWidth="1"/>
    <col min="37" max="37" width="8.28515625" style="321" bestFit="1" customWidth="1"/>
    <col min="38" max="38" width="8.5703125" style="321" bestFit="1" customWidth="1"/>
    <col min="39" max="39" width="9.140625" style="321" bestFit="1" customWidth="1"/>
    <col min="40" max="40" width="8.5703125" style="321" bestFit="1" customWidth="1"/>
    <col min="41" max="41" width="8.5703125" style="321" customWidth="1"/>
    <col min="42" max="42" width="8.5703125" style="321" bestFit="1" customWidth="1"/>
    <col min="43" max="43" width="10.5703125" style="321" customWidth="1"/>
    <col min="44" max="44" width="9.140625" style="321" bestFit="1" customWidth="1"/>
    <col min="45" max="45" width="9.7109375" style="321" customWidth="1"/>
    <col min="46" max="46" width="8.28515625" style="321" customWidth="1"/>
    <col min="47" max="47" width="8.42578125" style="321" customWidth="1"/>
    <col min="48" max="49" width="8.28515625" bestFit="1" customWidth="1"/>
  </cols>
  <sheetData>
    <row r="1" spans="1:29" s="16" customFormat="1" ht="48.6" customHeight="1">
      <c r="A1" s="396"/>
      <c r="B1" s="891" t="s">
        <v>278</v>
      </c>
      <c r="C1" s="885"/>
      <c r="D1" s="891" t="s">
        <v>301</v>
      </c>
      <c r="E1" s="885"/>
      <c r="F1" s="891" t="s">
        <v>279</v>
      </c>
      <c r="G1" s="885"/>
      <c r="H1" s="926" t="s">
        <v>240</v>
      </c>
      <c r="I1" s="927"/>
      <c r="J1" s="891" t="s">
        <v>280</v>
      </c>
      <c r="K1" s="891"/>
      <c r="L1" s="926" t="s">
        <v>365</v>
      </c>
      <c r="M1" s="927"/>
      <c r="N1" s="887" t="s">
        <v>236</v>
      </c>
      <c r="O1" s="887"/>
      <c r="P1" s="937" t="s">
        <v>180</v>
      </c>
      <c r="Q1" s="938"/>
      <c r="R1" s="956" t="s">
        <v>353</v>
      </c>
      <c r="S1" s="957"/>
      <c r="T1" s="958" t="s">
        <v>354</v>
      </c>
      <c r="U1" s="959"/>
      <c r="V1" s="952" t="s">
        <v>355</v>
      </c>
      <c r="W1" s="953"/>
      <c r="X1" s="962" t="s">
        <v>356</v>
      </c>
      <c r="Y1" s="963"/>
      <c r="Z1" s="886" t="s">
        <v>206</v>
      </c>
      <c r="AA1" s="887"/>
      <c r="AB1" s="884" t="s">
        <v>207</v>
      </c>
      <c r="AC1" s="885"/>
    </row>
    <row r="2" spans="1:29" s="322" customFormat="1" ht="18" customHeight="1">
      <c r="A2" s="395"/>
      <c r="B2" s="462" t="s">
        <v>4</v>
      </c>
      <c r="C2" s="754" t="s">
        <v>93</v>
      </c>
      <c r="D2" s="462" t="s">
        <v>112</v>
      </c>
      <c r="E2" s="462" t="s">
        <v>93</v>
      </c>
      <c r="F2" s="328" t="s">
        <v>4</v>
      </c>
      <c r="G2" s="328" t="s">
        <v>93</v>
      </c>
      <c r="H2" s="328" t="s">
        <v>4</v>
      </c>
      <c r="I2" s="328" t="s">
        <v>94</v>
      </c>
      <c r="J2" s="328" t="s">
        <v>4</v>
      </c>
      <c r="K2" s="328" t="s">
        <v>94</v>
      </c>
      <c r="L2" s="328" t="s">
        <v>4</v>
      </c>
      <c r="M2" s="462" t="s">
        <v>93</v>
      </c>
      <c r="N2" s="462" t="s">
        <v>4</v>
      </c>
      <c r="O2" s="462" t="s">
        <v>93</v>
      </c>
      <c r="P2" s="485" t="s">
        <v>4</v>
      </c>
      <c r="Q2" s="485" t="s">
        <v>94</v>
      </c>
      <c r="R2" s="575" t="s">
        <v>4</v>
      </c>
      <c r="S2" s="575" t="s">
        <v>94</v>
      </c>
      <c r="T2" s="371" t="s">
        <v>4</v>
      </c>
      <c r="U2" s="371" t="s">
        <v>94</v>
      </c>
      <c r="V2" s="466" t="s">
        <v>4</v>
      </c>
      <c r="W2" s="466" t="s">
        <v>94</v>
      </c>
      <c r="X2" s="467" t="s">
        <v>4</v>
      </c>
      <c r="Y2" s="467" t="s">
        <v>94</v>
      </c>
      <c r="Z2" s="797" t="s">
        <v>4</v>
      </c>
      <c r="AA2" s="797" t="s">
        <v>94</v>
      </c>
      <c r="AB2" s="777" t="s">
        <v>4</v>
      </c>
      <c r="AC2" s="777" t="s">
        <v>94</v>
      </c>
    </row>
    <row r="3" spans="1:29" s="323" customFormat="1" ht="22.5" customHeight="1">
      <c r="A3" s="484" t="s">
        <v>23</v>
      </c>
      <c r="B3" s="505">
        <v>-19939.71</v>
      </c>
      <c r="C3" s="755">
        <v>19939.71</v>
      </c>
      <c r="D3" s="506"/>
      <c r="E3" s="506"/>
      <c r="F3" s="399"/>
      <c r="G3" s="399"/>
      <c r="H3" s="506"/>
      <c r="I3" s="506"/>
      <c r="J3" s="399"/>
      <c r="K3" s="399"/>
      <c r="L3" s="507">
        <v>-150</v>
      </c>
      <c r="M3" s="508"/>
      <c r="N3" s="399"/>
      <c r="O3" s="399"/>
      <c r="P3" s="509"/>
      <c r="Q3" s="509"/>
      <c r="R3" s="576"/>
      <c r="S3" s="576"/>
      <c r="T3" s="510"/>
      <c r="U3" s="510"/>
      <c r="V3" s="511">
        <f>B3</f>
        <v>-19939.71</v>
      </c>
      <c r="W3" s="511">
        <f>C3+K3</f>
        <v>19939.71</v>
      </c>
      <c r="X3" s="507">
        <f>L3</f>
        <v>-150</v>
      </c>
      <c r="Y3" s="507">
        <f>M3</f>
        <v>0</v>
      </c>
      <c r="Z3" s="519"/>
      <c r="AA3" s="519"/>
      <c r="AB3" s="518"/>
      <c r="AC3" s="518"/>
    </row>
    <row r="4" spans="1:29" s="323" customFormat="1">
      <c r="A4" s="502" t="s">
        <v>146</v>
      </c>
      <c r="B4" s="512"/>
      <c r="C4" s="756"/>
      <c r="D4" s="512"/>
      <c r="E4" s="512"/>
      <c r="F4" s="512"/>
      <c r="G4" s="512"/>
      <c r="H4" s="512"/>
      <c r="I4" s="512"/>
      <c r="J4" s="512"/>
      <c r="K4" s="512"/>
      <c r="L4" s="512"/>
      <c r="M4" s="512"/>
      <c r="N4" s="512"/>
      <c r="O4" s="512"/>
      <c r="P4" s="512"/>
      <c r="Q4" s="512"/>
      <c r="R4" s="512"/>
      <c r="S4" s="512"/>
      <c r="T4" s="512"/>
      <c r="U4" s="512"/>
      <c r="V4" s="512"/>
      <c r="W4" s="512"/>
      <c r="X4" s="512"/>
      <c r="Y4" s="512"/>
      <c r="Z4" s="512"/>
      <c r="AA4" s="512"/>
      <c r="AB4" s="512"/>
      <c r="AC4" s="512"/>
    </row>
    <row r="5" spans="1:29" s="323" customFormat="1">
      <c r="A5" s="879" t="s">
        <v>372</v>
      </c>
      <c r="B5" s="596"/>
      <c r="C5" s="757"/>
      <c r="D5" s="596"/>
      <c r="E5" s="596"/>
      <c r="F5" s="596"/>
      <c r="G5" s="596"/>
      <c r="H5" s="596"/>
      <c r="I5" s="596"/>
      <c r="J5" s="596"/>
      <c r="K5" s="596"/>
      <c r="L5" s="596"/>
      <c r="M5" s="596"/>
      <c r="N5" s="596"/>
      <c r="O5" s="596"/>
      <c r="P5" s="509"/>
      <c r="Q5" s="509"/>
      <c r="R5" s="574"/>
      <c r="S5" s="574"/>
      <c r="T5" s="510"/>
      <c r="U5" s="510"/>
      <c r="V5" s="511"/>
      <c r="W5" s="773">
        <f>C5</f>
        <v>0</v>
      </c>
      <c r="X5" s="507"/>
      <c r="Y5" s="507"/>
      <c r="Z5" s="519"/>
      <c r="AA5" s="519"/>
      <c r="AB5" s="518"/>
      <c r="AC5" s="518"/>
    </row>
    <row r="6" spans="1:29" s="323" customFormat="1" ht="12">
      <c r="A6" s="477" t="s">
        <v>154</v>
      </c>
      <c r="B6" s="506"/>
      <c r="C6" s="755"/>
      <c r="D6" s="506"/>
      <c r="E6" s="506"/>
      <c r="F6" s="399"/>
      <c r="G6" s="399"/>
      <c r="H6" s="506"/>
      <c r="I6" s="506"/>
      <c r="J6" s="399"/>
      <c r="K6" s="399"/>
      <c r="L6" s="508"/>
      <c r="M6" s="508"/>
      <c r="N6" s="399"/>
      <c r="O6" s="399"/>
      <c r="P6" s="509"/>
      <c r="Q6" s="509"/>
      <c r="R6" s="574"/>
      <c r="S6" s="574"/>
      <c r="T6" s="510"/>
      <c r="U6" s="510"/>
      <c r="V6" s="511"/>
      <c r="W6" s="511"/>
      <c r="X6" s="507"/>
      <c r="Y6" s="507"/>
      <c r="Z6" s="519"/>
      <c r="AA6" s="519"/>
      <c r="AB6" s="518"/>
      <c r="AC6" s="518"/>
    </row>
    <row r="7" spans="1:29" s="323" customFormat="1" ht="12">
      <c r="A7" s="477" t="s">
        <v>140</v>
      </c>
      <c r="B7" s="506"/>
      <c r="C7" s="755"/>
      <c r="D7" s="509"/>
      <c r="E7" s="506"/>
      <c r="F7" s="509">
        <v>500</v>
      </c>
      <c r="H7" s="506"/>
      <c r="I7" s="506"/>
      <c r="J7" s="399"/>
      <c r="K7" s="399"/>
      <c r="L7" s="508"/>
      <c r="M7" s="508"/>
      <c r="N7" s="399"/>
      <c r="O7" s="399"/>
      <c r="P7" s="509">
        <f>F7</f>
        <v>500</v>
      </c>
      <c r="Q7" s="509">
        <f>G7</f>
        <v>0</v>
      </c>
      <c r="R7" s="574"/>
      <c r="S7" s="574"/>
      <c r="T7" s="510"/>
      <c r="U7" s="510"/>
      <c r="V7" s="511"/>
      <c r="W7" s="511"/>
      <c r="X7" s="507"/>
      <c r="Y7" s="507"/>
      <c r="Z7" s="519"/>
      <c r="AA7" s="519"/>
      <c r="AB7" s="518"/>
      <c r="AC7" s="518"/>
    </row>
    <row r="8" spans="1:29" s="323" customFormat="1" ht="12">
      <c r="A8" s="477" t="s">
        <v>140</v>
      </c>
      <c r="B8" s="506"/>
      <c r="C8" s="755"/>
      <c r="D8" s="510">
        <v>432.01</v>
      </c>
      <c r="E8" s="399"/>
      <c r="F8" s="803"/>
      <c r="G8" s="783"/>
      <c r="H8" s="506"/>
      <c r="I8" s="506"/>
      <c r="J8" s="399"/>
      <c r="K8" s="399"/>
      <c r="L8" s="508"/>
      <c r="M8" s="508"/>
      <c r="N8" s="399"/>
      <c r="O8" s="399"/>
      <c r="P8" s="509">
        <f>F8</f>
        <v>0</v>
      </c>
      <c r="Q8" s="509">
        <f>G8</f>
        <v>0</v>
      </c>
      <c r="R8" s="574"/>
      <c r="S8" s="574"/>
      <c r="T8" s="510">
        <f t="shared" ref="T8:U10" si="0">D8</f>
        <v>432.01</v>
      </c>
      <c r="U8" s="510">
        <f t="shared" si="0"/>
        <v>0</v>
      </c>
      <c r="V8" s="511"/>
      <c r="W8" s="511"/>
      <c r="X8" s="507"/>
      <c r="Y8" s="507"/>
      <c r="Z8" s="519"/>
      <c r="AA8" s="519"/>
      <c r="AB8" s="518"/>
      <c r="AC8" s="518"/>
    </row>
    <row r="9" spans="1:29" s="323" customFormat="1" ht="12">
      <c r="A9" s="477" t="s">
        <v>139</v>
      </c>
      <c r="B9" s="506"/>
      <c r="C9" s="755"/>
      <c r="D9" s="510">
        <v>589</v>
      </c>
      <c r="E9" s="505"/>
      <c r="F9" s="783"/>
      <c r="G9" s="783"/>
      <c r="H9" s="506"/>
      <c r="I9" s="506"/>
      <c r="J9" s="399"/>
      <c r="K9" s="399"/>
      <c r="L9" s="508"/>
      <c r="M9" s="508"/>
      <c r="N9" s="399"/>
      <c r="O9" s="399"/>
      <c r="P9" s="509"/>
      <c r="Q9" s="509"/>
      <c r="R9" s="574"/>
      <c r="S9" s="574"/>
      <c r="T9" s="510">
        <f t="shared" si="0"/>
        <v>589</v>
      </c>
      <c r="U9" s="510">
        <f t="shared" si="0"/>
        <v>0</v>
      </c>
      <c r="V9" s="511"/>
      <c r="W9" s="511"/>
      <c r="X9" s="507"/>
      <c r="Y9" s="507"/>
      <c r="Z9" s="519"/>
      <c r="AA9" s="519"/>
      <c r="AB9" s="518"/>
      <c r="AC9" s="518"/>
    </row>
    <row r="10" spans="1:29" s="323" customFormat="1" ht="12">
      <c r="A10" s="477" t="s">
        <v>138</v>
      </c>
      <c r="B10" s="506"/>
      <c r="C10" s="755"/>
      <c r="D10" s="510">
        <v>136.22</v>
      </c>
      <c r="E10" s="399"/>
      <c r="F10" s="783"/>
      <c r="G10" s="783"/>
      <c r="H10" s="506"/>
      <c r="I10" s="506"/>
      <c r="J10" s="399"/>
      <c r="K10" s="399"/>
      <c r="L10" s="508"/>
      <c r="M10" s="508"/>
      <c r="N10" s="399"/>
      <c r="O10" s="399"/>
      <c r="P10" s="509"/>
      <c r="Q10" s="509"/>
      <c r="R10" s="574"/>
      <c r="S10" s="574"/>
      <c r="T10" s="510">
        <f t="shared" si="0"/>
        <v>136.22</v>
      </c>
      <c r="U10" s="510">
        <f t="shared" si="0"/>
        <v>0</v>
      </c>
      <c r="V10" s="511"/>
      <c r="W10" s="511"/>
      <c r="X10" s="507"/>
      <c r="Y10" s="507"/>
      <c r="Z10" s="519"/>
      <c r="AA10" s="519"/>
      <c r="AB10" s="518"/>
      <c r="AC10" s="518"/>
    </row>
    <row r="11" spans="1:29" s="323" customFormat="1" ht="12">
      <c r="A11" s="477" t="s">
        <v>141</v>
      </c>
      <c r="B11" s="506"/>
      <c r="C11" s="755"/>
      <c r="D11" s="728"/>
      <c r="E11" s="506"/>
      <c r="F11" s="399"/>
      <c r="G11" s="399"/>
      <c r="H11" s="506"/>
      <c r="I11" s="506"/>
      <c r="J11" s="399"/>
      <c r="K11" s="399"/>
      <c r="L11" s="508"/>
      <c r="M11" s="508"/>
      <c r="N11" s="399"/>
      <c r="O11" s="399"/>
      <c r="P11" s="509"/>
      <c r="Q11" s="509"/>
      <c r="R11" s="574"/>
      <c r="S11" s="574"/>
      <c r="T11" s="510">
        <f>D11</f>
        <v>0</v>
      </c>
      <c r="U11" s="510"/>
      <c r="V11" s="511"/>
      <c r="W11" s="511"/>
      <c r="X11" s="507"/>
      <c r="Y11" s="507"/>
      <c r="Z11" s="519"/>
      <c r="AA11" s="519"/>
      <c r="AB11" s="518"/>
      <c r="AC11" s="518"/>
    </row>
    <row r="12" spans="1:29" s="323" customFormat="1" ht="12">
      <c r="A12" s="477" t="s">
        <v>9</v>
      </c>
      <c r="B12" s="511">
        <v>19939.71</v>
      </c>
      <c r="C12" s="399"/>
      <c r="D12" s="506"/>
      <c r="E12" s="506"/>
      <c r="F12" s="784"/>
      <c r="G12" s="399"/>
      <c r="H12" s="506"/>
      <c r="I12" s="506"/>
      <c r="J12" s="574">
        <v>2000</v>
      </c>
      <c r="L12" s="508"/>
      <c r="M12" s="508"/>
      <c r="N12" s="399"/>
      <c r="O12" s="399"/>
      <c r="P12" s="509"/>
      <c r="Q12" s="509"/>
      <c r="R12" s="574">
        <f>J12</f>
        <v>2000</v>
      </c>
      <c r="S12" s="574">
        <f>K12</f>
        <v>0</v>
      </c>
      <c r="T12" s="510"/>
      <c r="U12" s="510"/>
      <c r="V12" s="511">
        <f>B12</f>
        <v>19939.71</v>
      </c>
      <c r="W12" s="511">
        <f>C12</f>
        <v>0</v>
      </c>
      <c r="X12" s="507"/>
      <c r="Y12" s="507"/>
      <c r="Z12" s="519"/>
      <c r="AA12" s="519"/>
      <c r="AB12" s="518"/>
      <c r="AC12" s="518"/>
    </row>
    <row r="13" spans="1:29" s="323" customFormat="1" ht="12">
      <c r="A13" s="477" t="s">
        <v>215</v>
      </c>
      <c r="B13" s="506"/>
      <c r="C13" s="755"/>
      <c r="D13" s="510">
        <v>64</v>
      </c>
      <c r="E13" s="399"/>
      <c r="H13" s="506"/>
      <c r="I13" s="506"/>
      <c r="J13" s="399"/>
      <c r="K13" s="399"/>
      <c r="L13" s="508"/>
      <c r="M13" s="508"/>
      <c r="N13" s="399"/>
      <c r="O13" s="399"/>
      <c r="P13" s="509"/>
      <c r="Q13" s="509"/>
      <c r="R13" s="574"/>
      <c r="S13" s="574"/>
      <c r="T13" s="510">
        <f>D13</f>
        <v>64</v>
      </c>
      <c r="U13" s="510">
        <f>E13</f>
        <v>0</v>
      </c>
      <c r="V13" s="511"/>
      <c r="W13" s="511"/>
      <c r="X13" s="507"/>
      <c r="Y13" s="507"/>
      <c r="Z13" s="519"/>
      <c r="AA13" s="519"/>
      <c r="AB13" s="518"/>
      <c r="AC13" s="518"/>
    </row>
    <row r="14" spans="1:29" s="323" customFormat="1">
      <c r="A14" s="632" t="s">
        <v>147</v>
      </c>
      <c r="B14" s="633"/>
      <c r="C14" s="758"/>
      <c r="D14" s="633"/>
      <c r="E14" s="633"/>
      <c r="F14" s="633"/>
      <c r="G14" s="633"/>
      <c r="H14" s="633"/>
      <c r="I14" s="633"/>
      <c r="J14" s="633"/>
      <c r="K14" s="633"/>
      <c r="L14" s="633"/>
      <c r="M14" s="633"/>
      <c r="N14" s="633"/>
      <c r="O14" s="633"/>
      <c r="P14" s="512"/>
      <c r="Q14" s="512"/>
      <c r="R14" s="512"/>
      <c r="S14" s="512"/>
      <c r="T14" s="512"/>
      <c r="U14" s="512"/>
      <c r="V14" s="512"/>
      <c r="W14" s="512"/>
      <c r="X14" s="512"/>
      <c r="Y14" s="512"/>
      <c r="Z14" s="512"/>
      <c r="AA14" s="512"/>
      <c r="AB14" s="512"/>
      <c r="AC14" s="512"/>
    </row>
    <row r="15" spans="1:29" s="638" customFormat="1" ht="12">
      <c r="A15" s="477" t="s">
        <v>239</v>
      </c>
      <c r="B15" s="399"/>
      <c r="C15" s="759"/>
      <c r="D15" s="399"/>
      <c r="E15" s="399"/>
      <c r="F15" s="399"/>
      <c r="G15" s="399"/>
      <c r="H15" s="399"/>
      <c r="I15" s="399"/>
      <c r="J15" s="399"/>
      <c r="K15" s="399"/>
      <c r="L15" s="399"/>
      <c r="M15" s="399"/>
      <c r="N15" s="399"/>
      <c r="O15" s="399"/>
      <c r="P15" s="509"/>
      <c r="Q15" s="509"/>
      <c r="R15" s="574"/>
      <c r="S15" s="574"/>
      <c r="T15" s="510"/>
      <c r="U15" s="510"/>
      <c r="V15" s="511"/>
      <c r="W15" s="511"/>
      <c r="X15" s="507"/>
      <c r="Y15" s="507"/>
      <c r="Z15" s="519"/>
      <c r="AA15" s="519"/>
      <c r="AB15" s="518"/>
      <c r="AC15" s="518"/>
    </row>
    <row r="16" spans="1:29" s="638" customFormat="1" ht="12">
      <c r="A16" s="477" t="s">
        <v>238</v>
      </c>
      <c r="B16" s="399"/>
      <c r="C16" s="759"/>
      <c r="D16" s="399"/>
      <c r="E16" s="399"/>
      <c r="F16" s="399"/>
      <c r="G16" s="399"/>
      <c r="H16" s="399"/>
      <c r="I16" s="399"/>
      <c r="J16" s="399"/>
      <c r="K16" s="399"/>
      <c r="L16" s="399"/>
      <c r="M16" s="399"/>
      <c r="N16" s="399"/>
      <c r="O16" s="399"/>
      <c r="P16" s="509"/>
      <c r="Q16" s="509"/>
      <c r="R16" s="574"/>
      <c r="S16" s="574"/>
      <c r="T16" s="510"/>
      <c r="U16" s="510"/>
      <c r="V16" s="511"/>
      <c r="W16" s="511"/>
      <c r="X16" s="507"/>
      <c r="Y16" s="507"/>
      <c r="Z16" s="519"/>
      <c r="AA16" s="519"/>
      <c r="AB16" s="518"/>
      <c r="AC16" s="518"/>
    </row>
    <row r="17" spans="1:29" s="323" customFormat="1" ht="12">
      <c r="A17" s="634" t="s">
        <v>142</v>
      </c>
      <c r="B17" s="635"/>
      <c r="C17" s="760"/>
      <c r="D17" s="635"/>
      <c r="E17" s="635"/>
      <c r="F17" s="636"/>
      <c r="G17" s="636"/>
      <c r="H17" s="635"/>
      <c r="I17" s="635"/>
      <c r="J17" s="636"/>
      <c r="K17" s="636"/>
      <c r="L17" s="637"/>
      <c r="M17" s="637"/>
      <c r="N17" s="636"/>
      <c r="O17" s="636"/>
      <c r="P17" s="509"/>
      <c r="Q17" s="509"/>
      <c r="R17" s="574"/>
      <c r="S17" s="574"/>
      <c r="T17" s="510"/>
      <c r="U17" s="510"/>
      <c r="V17" s="511"/>
      <c r="W17" s="511"/>
      <c r="X17" s="507"/>
      <c r="Y17" s="507"/>
      <c r="Z17" s="519"/>
      <c r="AA17" s="519"/>
      <c r="AB17" s="518"/>
      <c r="AC17" s="518"/>
    </row>
    <row r="18" spans="1:29" s="323" customFormat="1" ht="12">
      <c r="A18" s="477" t="s">
        <v>143</v>
      </c>
      <c r="B18" s="506"/>
      <c r="C18" s="755"/>
      <c r="D18" s="506"/>
      <c r="E18" s="506"/>
      <c r="F18" s="399"/>
      <c r="G18" s="399"/>
      <c r="H18" s="506"/>
      <c r="I18" s="506"/>
      <c r="J18" s="399"/>
      <c r="K18" s="399"/>
      <c r="L18" s="508"/>
      <c r="M18" s="508"/>
      <c r="N18" s="399"/>
      <c r="O18" s="399"/>
      <c r="P18" s="509"/>
      <c r="Q18" s="509"/>
      <c r="R18" s="574"/>
      <c r="S18" s="574"/>
      <c r="T18" s="510"/>
      <c r="U18" s="510"/>
      <c r="V18" s="511"/>
      <c r="W18" s="511"/>
      <c r="X18" s="507"/>
      <c r="Y18" s="507"/>
      <c r="Z18" s="519"/>
      <c r="AA18" s="519"/>
      <c r="AB18" s="518"/>
      <c r="AC18" s="518"/>
    </row>
    <row r="19" spans="1:29" s="323" customFormat="1" ht="12">
      <c r="A19" s="477" t="s">
        <v>144</v>
      </c>
      <c r="B19" s="505"/>
      <c r="C19" s="755"/>
      <c r="D19" s="506"/>
      <c r="E19" s="506"/>
      <c r="F19" s="399"/>
      <c r="G19" s="399"/>
      <c r="H19" s="506"/>
      <c r="I19" s="506"/>
      <c r="J19" s="399"/>
      <c r="K19" s="399"/>
      <c r="L19" s="508"/>
      <c r="M19" s="508"/>
      <c r="N19" s="399"/>
      <c r="O19" s="399"/>
      <c r="P19" s="509"/>
      <c r="Q19" s="509"/>
      <c r="R19" s="574"/>
      <c r="S19" s="574"/>
      <c r="T19" s="510"/>
      <c r="U19" s="510"/>
      <c r="V19" s="511"/>
      <c r="W19" s="511"/>
      <c r="X19" s="507"/>
      <c r="Y19" s="507"/>
      <c r="Z19" s="519"/>
      <c r="AA19" s="519"/>
      <c r="AB19" s="518"/>
      <c r="AC19" s="518"/>
    </row>
    <row r="20" spans="1:29" s="323" customFormat="1" ht="12">
      <c r="A20" s="477" t="s">
        <v>145</v>
      </c>
      <c r="B20" s="506"/>
      <c r="C20" s="755"/>
      <c r="D20" s="506"/>
      <c r="E20" s="506"/>
      <c r="F20" s="399"/>
      <c r="G20" s="399"/>
      <c r="H20" s="506"/>
      <c r="I20" s="506"/>
      <c r="J20" s="399"/>
      <c r="K20" s="399"/>
      <c r="L20" s="508"/>
      <c r="M20" s="508"/>
      <c r="N20" s="399"/>
      <c r="O20" s="399"/>
      <c r="P20" s="509"/>
      <c r="Q20" s="509"/>
      <c r="R20" s="574"/>
      <c r="S20" s="574"/>
      <c r="T20" s="510"/>
      <c r="U20" s="510"/>
      <c r="V20" s="511"/>
      <c r="W20" s="511"/>
      <c r="X20" s="507"/>
      <c r="Y20" s="507"/>
      <c r="Z20" s="519"/>
      <c r="AA20" s="519"/>
      <c r="AB20" s="518"/>
      <c r="AC20" s="518"/>
    </row>
    <row r="21" spans="1:29" s="323" customFormat="1">
      <c r="A21" s="502" t="s">
        <v>148</v>
      </c>
      <c r="B21" s="512"/>
      <c r="C21" s="756"/>
      <c r="D21" s="512"/>
      <c r="E21" s="512"/>
      <c r="F21" s="512"/>
      <c r="G21" s="512"/>
      <c r="H21" s="512"/>
      <c r="I21" s="512"/>
      <c r="J21" s="512"/>
      <c r="K21" s="512"/>
      <c r="L21" s="512"/>
      <c r="M21" s="512"/>
      <c r="N21" s="512"/>
      <c r="O21" s="512"/>
      <c r="P21" s="512"/>
      <c r="Q21" s="512"/>
      <c r="R21" s="512"/>
      <c r="S21" s="512"/>
      <c r="T21" s="512"/>
      <c r="U21" s="512"/>
      <c r="V21" s="512"/>
      <c r="W21" s="512"/>
      <c r="X21" s="512"/>
      <c r="Y21" s="512"/>
      <c r="Z21" s="512"/>
      <c r="AA21" s="512"/>
      <c r="AB21" s="512"/>
      <c r="AC21" s="512"/>
    </row>
    <row r="22" spans="1:29" s="323" customFormat="1" ht="12">
      <c r="A22" s="477" t="s">
        <v>149</v>
      </c>
      <c r="B22" s="511"/>
      <c r="C22" s="755"/>
      <c r="D22" s="506"/>
      <c r="E22" s="506"/>
      <c r="F22" s="399"/>
      <c r="G22" s="399"/>
      <c r="H22" s="506"/>
      <c r="I22" s="506"/>
      <c r="J22" s="513">
        <v>500</v>
      </c>
      <c r="K22" s="399"/>
      <c r="L22" s="508"/>
      <c r="M22" s="508"/>
      <c r="N22" s="399"/>
      <c r="O22" s="399"/>
      <c r="P22" s="513">
        <f>Communications!H18+J22</f>
        <v>2900</v>
      </c>
      <c r="Q22" s="513">
        <f>Communications!I18+K22</f>
        <v>-2399</v>
      </c>
      <c r="R22" s="574"/>
      <c r="S22" s="574"/>
      <c r="T22" s="510"/>
      <c r="U22" s="510"/>
      <c r="V22" s="511"/>
      <c r="W22" s="511"/>
      <c r="X22" s="507"/>
      <c r="Y22" s="507"/>
      <c r="Z22" s="519"/>
      <c r="AA22" s="519"/>
      <c r="AB22" s="518"/>
      <c r="AC22" s="518"/>
    </row>
    <row r="23" spans="1:29" s="323" customFormat="1" ht="12">
      <c r="A23" s="477" t="s">
        <v>150</v>
      </c>
      <c r="B23" s="506"/>
      <c r="C23" s="755"/>
      <c r="D23" s="506"/>
      <c r="E23" s="506"/>
      <c r="F23" s="399"/>
      <c r="G23" s="399"/>
      <c r="H23" s="506"/>
      <c r="I23" s="506"/>
      <c r="J23" s="399"/>
      <c r="K23" s="399"/>
      <c r="L23" s="508"/>
      <c r="M23" s="508"/>
      <c r="N23" s="399"/>
      <c r="O23" s="399"/>
      <c r="P23" s="509"/>
      <c r="Q23" s="509"/>
      <c r="R23" s="574"/>
      <c r="S23" s="574"/>
      <c r="T23" s="510"/>
      <c r="U23" s="510"/>
      <c r="V23" s="511"/>
      <c r="W23" s="511"/>
      <c r="X23" s="507"/>
      <c r="Y23" s="507"/>
      <c r="Z23" s="519"/>
      <c r="AA23" s="519"/>
      <c r="AB23" s="518"/>
      <c r="AC23" s="518"/>
    </row>
    <row r="24" spans="1:29" s="323" customFormat="1" ht="12">
      <c r="A24" s="477" t="s">
        <v>151</v>
      </c>
      <c r="B24" s="574">
        <v>7116</v>
      </c>
      <c r="C24" s="399"/>
      <c r="D24" s="506"/>
      <c r="E24" s="506"/>
      <c r="F24" s="399"/>
      <c r="G24" s="399"/>
      <c r="H24" s="506"/>
      <c r="I24" s="506"/>
      <c r="L24" s="508"/>
      <c r="M24" s="508"/>
      <c r="N24" s="399"/>
      <c r="O24" s="399"/>
      <c r="P24" s="509"/>
      <c r="Q24" s="509"/>
      <c r="R24" s="574">
        <f>B24</f>
        <v>7116</v>
      </c>
      <c r="S24" s="574">
        <f>C24</f>
        <v>0</v>
      </c>
      <c r="T24" s="510"/>
      <c r="U24" s="510"/>
      <c r="V24" s="511"/>
      <c r="W24" s="511"/>
      <c r="X24" s="507"/>
      <c r="Y24" s="507"/>
      <c r="Z24" s="519"/>
      <c r="AA24" s="519"/>
      <c r="AB24" s="518"/>
      <c r="AC24" s="518"/>
    </row>
    <row r="25" spans="1:29" s="323" customFormat="1" ht="12">
      <c r="A25" s="477" t="s">
        <v>258</v>
      </c>
      <c r="B25" s="510">
        <v>393.75</v>
      </c>
      <c r="C25" s="399"/>
      <c r="D25" s="506"/>
      <c r="E25" s="506"/>
      <c r="F25" s="399"/>
      <c r="G25" s="399"/>
      <c r="H25" s="506"/>
      <c r="I25" s="506"/>
      <c r="J25" s="513">
        <v>1000</v>
      </c>
      <c r="L25" s="508"/>
      <c r="M25" s="508"/>
      <c r="N25" s="513"/>
      <c r="O25" s="399"/>
      <c r="P25" s="513">
        <f>Communications!H21+N25+J25</f>
        <v>8000</v>
      </c>
      <c r="Q25" s="509"/>
      <c r="R25" s="574"/>
      <c r="S25" s="574"/>
      <c r="T25" s="510">
        <f>B25</f>
        <v>393.75</v>
      </c>
      <c r="U25" s="510">
        <f>C25</f>
        <v>0</v>
      </c>
      <c r="V25" s="511"/>
      <c r="W25" s="511"/>
      <c r="X25" s="507"/>
      <c r="Y25" s="507"/>
      <c r="Z25" s="519"/>
      <c r="AA25" s="519"/>
      <c r="AB25" s="518"/>
      <c r="AC25" s="518"/>
    </row>
    <row r="26" spans="1:29" s="323" customFormat="1" ht="12">
      <c r="A26" s="477" t="s">
        <v>151</v>
      </c>
      <c r="B26" s="511"/>
      <c r="C26" s="755"/>
      <c r="D26" s="506"/>
      <c r="E26" s="506"/>
      <c r="F26" s="505"/>
      <c r="G26" s="399"/>
      <c r="H26" s="506"/>
      <c r="I26" s="506"/>
      <c r="J26" s="728"/>
      <c r="K26" s="399"/>
      <c r="L26" s="508"/>
      <c r="M26" s="508"/>
      <c r="N26" s="505"/>
      <c r="O26" s="399"/>
      <c r="P26" s="513">
        <f>B26</f>
        <v>0</v>
      </c>
      <c r="Q26" s="509"/>
      <c r="R26" s="574"/>
      <c r="S26" s="574"/>
      <c r="T26" s="510"/>
      <c r="U26" s="510"/>
      <c r="V26" s="511">
        <f>J26</f>
        <v>0</v>
      </c>
      <c r="W26" s="511">
        <f>K26</f>
        <v>0</v>
      </c>
      <c r="X26" s="507"/>
      <c r="Y26" s="507"/>
      <c r="Z26" s="519"/>
      <c r="AA26" s="519"/>
      <c r="AB26" s="518"/>
      <c r="AC26" s="518"/>
    </row>
    <row r="27" spans="1:29" s="323" customFormat="1" ht="12">
      <c r="A27" s="477" t="s">
        <v>152</v>
      </c>
      <c r="B27" s="506"/>
      <c r="C27" s="755"/>
      <c r="D27" s="506" t="s">
        <v>219</v>
      </c>
      <c r="E27" s="506"/>
      <c r="F27" s="399"/>
      <c r="G27" s="399"/>
      <c r="H27" s="506"/>
      <c r="I27" s="506"/>
      <c r="J27" s="399"/>
      <c r="K27" s="399"/>
      <c r="L27" s="508"/>
      <c r="M27" s="508"/>
      <c r="N27" s="399"/>
      <c r="O27" s="399"/>
      <c r="P27" s="509"/>
      <c r="Q27" s="509"/>
      <c r="R27" s="574"/>
      <c r="S27" s="574"/>
      <c r="T27" s="510"/>
      <c r="U27" s="510"/>
      <c r="V27" s="511"/>
      <c r="W27" s="511"/>
      <c r="X27" s="507"/>
      <c r="Y27" s="507"/>
      <c r="Z27" s="519"/>
      <c r="AA27" s="519"/>
      <c r="AB27" s="518"/>
      <c r="AC27" s="518"/>
    </row>
    <row r="28" spans="1:29" s="323" customFormat="1">
      <c r="A28" s="502" t="s">
        <v>153</v>
      </c>
      <c r="B28" s="512"/>
      <c r="C28" s="756"/>
      <c r="D28" s="512"/>
      <c r="E28" s="512"/>
      <c r="F28" s="512"/>
      <c r="G28" s="512"/>
      <c r="H28" s="512"/>
      <c r="I28" s="512"/>
      <c r="J28" s="512"/>
      <c r="K28" s="512"/>
      <c r="L28" s="512"/>
      <c r="M28" s="512"/>
      <c r="N28" s="512"/>
      <c r="O28" s="512"/>
      <c r="P28" s="512"/>
      <c r="Q28" s="512"/>
      <c r="R28" s="512"/>
      <c r="S28" s="512"/>
      <c r="T28" s="512"/>
      <c r="U28" s="512"/>
      <c r="V28" s="512"/>
      <c r="W28" s="512"/>
      <c r="X28" s="512"/>
      <c r="Y28" s="512"/>
      <c r="Z28" s="512"/>
      <c r="AA28" s="512"/>
      <c r="AB28" s="512"/>
      <c r="AC28" s="512"/>
    </row>
    <row r="29" spans="1:29" s="323" customFormat="1" ht="12">
      <c r="A29" s="477" t="s">
        <v>156</v>
      </c>
      <c r="B29" s="505"/>
      <c r="C29" s="755"/>
      <c r="D29" s="506"/>
      <c r="E29" s="506"/>
      <c r="F29" s="399"/>
      <c r="G29" s="399"/>
      <c r="H29" s="506"/>
      <c r="I29" s="506"/>
      <c r="J29" s="399"/>
      <c r="K29" s="399"/>
      <c r="L29" s="507">
        <v>150</v>
      </c>
      <c r="M29" s="508"/>
      <c r="N29" s="399"/>
      <c r="O29" s="399"/>
      <c r="P29" s="509"/>
      <c r="Q29" s="509"/>
      <c r="R29" s="574"/>
      <c r="S29" s="574"/>
      <c r="T29" s="510"/>
      <c r="U29" s="510"/>
      <c r="V29" s="511"/>
      <c r="W29" s="511"/>
      <c r="X29" s="507">
        <f>L29</f>
        <v>150</v>
      </c>
      <c r="Y29" s="507">
        <f>M29</f>
        <v>0</v>
      </c>
      <c r="Z29" s="519"/>
      <c r="AA29" s="519"/>
      <c r="AB29" s="518"/>
      <c r="AC29" s="518"/>
    </row>
    <row r="30" spans="1:29" s="323" customFormat="1" ht="12">
      <c r="A30" s="477" t="s">
        <v>156</v>
      </c>
      <c r="B30" s="511"/>
      <c r="C30" s="755"/>
      <c r="D30" s="506"/>
      <c r="E30" s="506"/>
      <c r="F30" s="399"/>
      <c r="G30" s="399"/>
      <c r="H30" s="506"/>
      <c r="I30" s="506"/>
      <c r="J30" s="399"/>
      <c r="K30" s="399"/>
      <c r="L30" s="505"/>
      <c r="M30" s="508"/>
      <c r="N30" s="399"/>
      <c r="O30" s="399"/>
      <c r="P30" s="509"/>
      <c r="Q30" s="509"/>
      <c r="R30" s="574"/>
      <c r="S30" s="574"/>
      <c r="T30" s="510"/>
      <c r="U30" s="510"/>
      <c r="V30" s="511">
        <f>B30</f>
        <v>0</v>
      </c>
      <c r="W30" s="511"/>
      <c r="X30" s="507"/>
      <c r="Y30" s="507"/>
      <c r="Z30" s="519"/>
      <c r="AA30" s="519"/>
      <c r="AB30" s="518"/>
      <c r="AC30" s="518"/>
    </row>
    <row r="31" spans="1:29" s="323" customFormat="1" ht="12">
      <c r="A31" s="477" t="s">
        <v>129</v>
      </c>
      <c r="B31" s="511"/>
      <c r="C31" s="755"/>
      <c r="D31" s="506"/>
      <c r="E31" s="506"/>
      <c r="F31" s="399"/>
      <c r="G31" s="399"/>
      <c r="H31" s="506"/>
      <c r="I31" s="506"/>
      <c r="J31" s="399"/>
      <c r="K31" s="399"/>
      <c r="L31" s="508"/>
      <c r="M31" s="508"/>
      <c r="N31" s="399"/>
      <c r="O31" s="399"/>
      <c r="P31" s="509"/>
      <c r="Q31" s="509"/>
      <c r="R31" s="574"/>
      <c r="S31" s="574"/>
      <c r="T31" s="510"/>
      <c r="U31" s="510"/>
      <c r="V31" s="511">
        <f>B31</f>
        <v>0</v>
      </c>
      <c r="W31" s="511"/>
      <c r="X31" s="507"/>
      <c r="Y31" s="507"/>
      <c r="Z31" s="519"/>
      <c r="AA31" s="519"/>
      <c r="AB31" s="518"/>
      <c r="AC31" s="518"/>
    </row>
    <row r="32" spans="1:29" s="323" customFormat="1" ht="12">
      <c r="A32" s="477" t="s">
        <v>157</v>
      </c>
      <c r="B32" s="505"/>
      <c r="C32" s="755"/>
      <c r="D32" s="506"/>
      <c r="E32" s="506"/>
      <c r="F32" s="505"/>
      <c r="G32" s="399"/>
      <c r="H32" s="506"/>
      <c r="I32" s="506"/>
      <c r="J32" s="399"/>
      <c r="K32" s="399"/>
      <c r="L32" s="508"/>
      <c r="M32" s="508"/>
      <c r="N32" s="399"/>
      <c r="O32" s="399"/>
      <c r="P32" s="509"/>
      <c r="Q32" s="509"/>
      <c r="R32" s="574"/>
      <c r="S32" s="574"/>
      <c r="T32" s="510"/>
      <c r="U32" s="510"/>
      <c r="V32" s="511"/>
      <c r="W32" s="511"/>
      <c r="X32" s="507"/>
      <c r="Y32" s="507"/>
      <c r="Z32" s="519"/>
      <c r="AA32" s="519"/>
      <c r="AB32" s="518"/>
      <c r="AC32" s="518"/>
    </row>
    <row r="33" spans="1:31" s="323" customFormat="1">
      <c r="A33" s="502" t="s">
        <v>160</v>
      </c>
      <c r="B33" s="512"/>
      <c r="C33" s="756"/>
      <c r="D33" s="512"/>
      <c r="E33" s="512"/>
      <c r="F33" s="512"/>
      <c r="G33" s="512"/>
      <c r="H33" s="512"/>
      <c r="I33" s="512"/>
      <c r="J33" s="512"/>
      <c r="K33" s="512"/>
      <c r="L33" s="512"/>
      <c r="M33" s="512"/>
      <c r="N33" s="512"/>
      <c r="O33" s="512"/>
      <c r="P33" s="512"/>
      <c r="Q33" s="512"/>
      <c r="R33" s="512"/>
      <c r="S33" s="512"/>
      <c r="T33" s="512"/>
      <c r="U33" s="512"/>
      <c r="V33" s="512"/>
      <c r="W33" s="512"/>
      <c r="X33" s="512"/>
      <c r="Y33" s="512"/>
      <c r="Z33" s="512"/>
      <c r="AA33" s="512"/>
      <c r="AB33" s="512"/>
      <c r="AC33" s="512"/>
    </row>
    <row r="34" spans="1:31" s="323" customFormat="1" ht="12">
      <c r="A34" s="477" t="s">
        <v>161</v>
      </c>
      <c r="B34" s="506"/>
      <c r="C34" s="755"/>
      <c r="D34" s="506"/>
      <c r="E34" s="506"/>
      <c r="F34" s="399"/>
      <c r="G34" s="399"/>
      <c r="H34" s="506"/>
      <c r="I34" s="506"/>
      <c r="J34" s="399"/>
      <c r="K34" s="399"/>
      <c r="L34" s="508"/>
      <c r="M34" s="508"/>
      <c r="N34" s="399"/>
      <c r="O34" s="399"/>
      <c r="P34" s="509"/>
      <c r="Q34" s="509"/>
      <c r="R34" s="574"/>
      <c r="S34" s="574"/>
      <c r="T34" s="510"/>
      <c r="U34" s="510"/>
      <c r="V34" s="511"/>
      <c r="W34" s="511"/>
      <c r="X34" s="507"/>
      <c r="Y34" s="507"/>
      <c r="Z34" s="519"/>
      <c r="AA34" s="519"/>
      <c r="AB34" s="518"/>
      <c r="AC34" s="518"/>
    </row>
    <row r="35" spans="1:31" s="323" customFormat="1" ht="12">
      <c r="A35" s="477" t="s">
        <v>162</v>
      </c>
      <c r="B35" s="506"/>
      <c r="C35" s="755"/>
      <c r="D35" s="506"/>
      <c r="E35" s="506"/>
      <c r="F35" s="399"/>
      <c r="G35" s="399"/>
      <c r="H35" s="506"/>
      <c r="I35" s="506"/>
      <c r="J35" s="399"/>
      <c r="K35" s="399"/>
      <c r="L35" s="508"/>
      <c r="M35" s="508"/>
      <c r="N35" s="399"/>
      <c r="O35" s="399"/>
      <c r="P35" s="509"/>
      <c r="Q35" s="509"/>
      <c r="R35" s="574"/>
      <c r="S35" s="574"/>
      <c r="T35" s="510"/>
      <c r="U35" s="510"/>
      <c r="V35" s="511"/>
      <c r="W35" s="511"/>
      <c r="X35" s="507"/>
      <c r="Y35" s="507"/>
      <c r="Z35" s="519"/>
      <c r="AA35" s="519"/>
      <c r="AB35" s="518"/>
      <c r="AC35" s="518"/>
    </row>
    <row r="36" spans="1:31" s="323" customFormat="1" ht="12">
      <c r="A36" s="477" t="s">
        <v>163</v>
      </c>
      <c r="B36" s="506"/>
      <c r="C36" s="755"/>
      <c r="D36" s="506"/>
      <c r="E36" s="506"/>
      <c r="F36" s="399"/>
      <c r="G36" s="399"/>
      <c r="H36" s="506"/>
      <c r="I36" s="506"/>
      <c r="J36" s="399"/>
      <c r="K36" s="399"/>
      <c r="L36" s="508"/>
      <c r="M36" s="508"/>
      <c r="N36" s="399"/>
      <c r="O36" s="399"/>
      <c r="P36" s="509"/>
      <c r="Q36" s="509"/>
      <c r="R36" s="574"/>
      <c r="S36" s="574"/>
      <c r="T36" s="510"/>
      <c r="U36" s="510"/>
      <c r="V36" s="511"/>
      <c r="W36" s="511"/>
      <c r="X36" s="507"/>
      <c r="Y36" s="507"/>
      <c r="Z36" s="519"/>
      <c r="AA36" s="519"/>
      <c r="AB36" s="518"/>
      <c r="AC36" s="518"/>
    </row>
    <row r="37" spans="1:31" s="323" customFormat="1" ht="12">
      <c r="A37" s="477" t="s">
        <v>164</v>
      </c>
      <c r="B37" s="506"/>
      <c r="C37" s="755"/>
      <c r="D37" s="506"/>
      <c r="E37" s="506"/>
      <c r="F37" s="399"/>
      <c r="G37" s="399"/>
      <c r="H37" s="506"/>
      <c r="I37" s="506"/>
      <c r="J37" s="399"/>
      <c r="K37" s="399"/>
      <c r="L37" s="508"/>
      <c r="M37" s="508"/>
      <c r="N37" s="399"/>
      <c r="O37" s="399"/>
      <c r="P37" s="509"/>
      <c r="Q37" s="509"/>
      <c r="R37" s="574"/>
      <c r="S37" s="574"/>
      <c r="T37" s="510"/>
      <c r="U37" s="510"/>
      <c r="V37" s="511"/>
      <c r="W37" s="511"/>
      <c r="X37" s="507"/>
      <c r="Y37" s="507"/>
      <c r="Z37" s="519"/>
      <c r="AA37" s="519"/>
      <c r="AB37" s="518"/>
      <c r="AC37" s="518"/>
    </row>
    <row r="38" spans="1:31" s="323" customFormat="1" ht="12">
      <c r="A38" s="477" t="s">
        <v>199</v>
      </c>
      <c r="B38" s="506"/>
      <c r="C38" s="755"/>
      <c r="D38" s="506"/>
      <c r="E38" s="506"/>
      <c r="F38" s="399"/>
      <c r="G38" s="399"/>
      <c r="H38" s="506"/>
      <c r="I38" s="506"/>
      <c r="J38" s="399"/>
      <c r="K38" s="399"/>
      <c r="L38" s="508"/>
      <c r="M38" s="508"/>
      <c r="N38" s="399"/>
      <c r="O38" s="399"/>
      <c r="P38" s="509"/>
      <c r="Q38" s="509"/>
      <c r="R38" s="574"/>
      <c r="S38" s="574"/>
      <c r="T38" s="510"/>
      <c r="U38" s="510"/>
      <c r="V38" s="511"/>
      <c r="W38" s="511"/>
      <c r="X38" s="507"/>
      <c r="Y38" s="507"/>
      <c r="Z38" s="519"/>
      <c r="AA38" s="519"/>
      <c r="AB38" s="518"/>
      <c r="AC38" s="518"/>
    </row>
    <row r="39" spans="1:31" s="323" customFormat="1" ht="12">
      <c r="A39" s="477" t="s">
        <v>165</v>
      </c>
      <c r="B39" s="399"/>
      <c r="C39" s="759"/>
      <c r="D39" s="399"/>
      <c r="E39" s="399"/>
      <c r="F39" s="399"/>
      <c r="G39" s="399"/>
      <c r="H39" s="510">
        <v>100</v>
      </c>
      <c r="I39" s="515"/>
      <c r="J39" s="399"/>
      <c r="K39" s="399"/>
      <c r="L39" s="508"/>
      <c r="M39" s="508"/>
      <c r="N39" s="399"/>
      <c r="O39" s="399"/>
      <c r="P39" s="509"/>
      <c r="Q39" s="509"/>
      <c r="R39" s="574"/>
      <c r="S39" s="574"/>
      <c r="T39" s="510">
        <f>H39</f>
        <v>100</v>
      </c>
      <c r="U39" s="510">
        <f>I39</f>
        <v>0</v>
      </c>
      <c r="V39" s="511"/>
      <c r="W39" s="511"/>
      <c r="X39" s="507"/>
      <c r="Y39" s="507"/>
      <c r="Z39" s="519"/>
      <c r="AA39" s="519"/>
      <c r="AB39" s="518"/>
      <c r="AC39" s="518"/>
    </row>
    <row r="40" spans="1:31" s="323" customFormat="1">
      <c r="A40" s="502" t="str">
        <f>'AVP  Health'!A47</f>
        <v>Community Relations</v>
      </c>
      <c r="B40" s="512"/>
      <c r="C40" s="756"/>
      <c r="D40" s="512"/>
      <c r="E40" s="512"/>
      <c r="F40" s="512"/>
      <c r="G40" s="512"/>
      <c r="H40" s="512"/>
      <c r="I40" s="512"/>
      <c r="J40" s="512"/>
      <c r="K40" s="512"/>
      <c r="L40" s="512"/>
      <c r="M40" s="512"/>
      <c r="N40" s="512"/>
      <c r="O40" s="512"/>
      <c r="P40" s="512"/>
      <c r="Q40" s="512"/>
      <c r="R40" s="512"/>
      <c r="S40" s="512"/>
      <c r="T40" s="512"/>
      <c r="U40" s="512"/>
      <c r="V40" s="512"/>
      <c r="W40" s="512"/>
      <c r="X40" s="512"/>
      <c r="Y40" s="512"/>
      <c r="Z40" s="512"/>
      <c r="AA40" s="512"/>
      <c r="AB40" s="512"/>
      <c r="AC40" s="512"/>
    </row>
    <row r="41" spans="1:31" s="323" customFormat="1" ht="12">
      <c r="A41" s="491" t="s">
        <v>169</v>
      </c>
      <c r="B41" s="728"/>
      <c r="C41" s="759"/>
      <c r="D41" s="516">
        <v>282.72000000000003</v>
      </c>
      <c r="E41" s="399">
        <v>-282.72000000000003</v>
      </c>
      <c r="H41" s="516"/>
      <c r="I41" s="515"/>
      <c r="J41" s="399"/>
      <c r="K41" s="399"/>
      <c r="L41" s="399"/>
      <c r="M41" s="399"/>
      <c r="N41" s="399"/>
      <c r="O41" s="399"/>
      <c r="P41" s="509"/>
      <c r="Q41" s="509"/>
      <c r="R41" s="574"/>
      <c r="S41" s="574"/>
      <c r="T41" s="510">
        <f>D41</f>
        <v>282.72000000000003</v>
      </c>
      <c r="U41" s="510">
        <f>E41</f>
        <v>-282.72000000000003</v>
      </c>
      <c r="V41" s="785"/>
      <c r="W41" s="511"/>
      <c r="X41" s="507"/>
      <c r="Y41" s="507"/>
      <c r="Z41" s="519"/>
      <c r="AA41" s="519"/>
      <c r="AB41" s="518"/>
      <c r="AC41" s="518"/>
    </row>
    <row r="42" spans="1:31" s="323" customFormat="1" ht="12">
      <c r="A42" s="477" t="s">
        <v>171</v>
      </c>
      <c r="B42" s="516">
        <v>1500</v>
      </c>
      <c r="C42" s="515">
        <f>-107.13-80.84-155.27-12-11.05</f>
        <v>-366.29</v>
      </c>
      <c r="D42" s="516"/>
      <c r="E42" s="399"/>
      <c r="F42" s="516">
        <v>500</v>
      </c>
      <c r="G42" s="399"/>
      <c r="H42" s="399"/>
      <c r="I42" s="399"/>
      <c r="L42" s="399"/>
      <c r="M42" s="399"/>
      <c r="N42" s="399"/>
      <c r="O42" s="399"/>
      <c r="P42" s="509"/>
      <c r="Q42" s="509"/>
      <c r="R42" s="574"/>
      <c r="S42" s="574"/>
      <c r="T42" s="510">
        <f>+B42+D42+F42</f>
        <v>2000</v>
      </c>
      <c r="U42" s="510">
        <f>E42+C42+G42</f>
        <v>-366.29</v>
      </c>
      <c r="X42" s="507"/>
      <c r="Y42" s="507"/>
      <c r="Z42" s="519"/>
      <c r="AA42" s="519"/>
      <c r="AB42" s="518"/>
      <c r="AC42" s="518"/>
    </row>
    <row r="43" spans="1:31" s="1" customFormat="1" ht="12">
      <c r="A43" s="468" t="s">
        <v>28</v>
      </c>
      <c r="B43" s="471">
        <f t="shared" ref="B43:G43" si="1">SUM(B3:B42)</f>
        <v>9009.75</v>
      </c>
      <c r="C43" s="471">
        <f t="shared" si="1"/>
        <v>19573.419999999998</v>
      </c>
      <c r="D43" s="471">
        <f t="shared" si="1"/>
        <v>1503.95</v>
      </c>
      <c r="E43" s="471">
        <f t="shared" si="1"/>
        <v>-282.72000000000003</v>
      </c>
      <c r="F43" s="471">
        <f t="shared" si="1"/>
        <v>1000</v>
      </c>
      <c r="G43" s="471">
        <f t="shared" si="1"/>
        <v>0</v>
      </c>
      <c r="H43" s="471">
        <f t="shared" ref="H43:AC43" si="2">SUM(H3:H42)</f>
        <v>100</v>
      </c>
      <c r="I43" s="471">
        <f t="shared" si="2"/>
        <v>0</v>
      </c>
      <c r="J43" s="471">
        <f t="shared" si="2"/>
        <v>3500</v>
      </c>
      <c r="K43" s="471">
        <f t="shared" si="2"/>
        <v>0</v>
      </c>
      <c r="L43" s="471">
        <f t="shared" si="2"/>
        <v>0</v>
      </c>
      <c r="M43" s="471">
        <f t="shared" si="2"/>
        <v>0</v>
      </c>
      <c r="N43" s="471">
        <f t="shared" si="2"/>
        <v>0</v>
      </c>
      <c r="O43" s="471">
        <f t="shared" si="2"/>
        <v>0</v>
      </c>
      <c r="P43" s="471">
        <f t="shared" si="2"/>
        <v>11400</v>
      </c>
      <c r="Q43" s="471">
        <f t="shared" si="2"/>
        <v>-2399</v>
      </c>
      <c r="R43" s="471">
        <f t="shared" si="2"/>
        <v>9116</v>
      </c>
      <c r="S43" s="471">
        <f t="shared" si="2"/>
        <v>0</v>
      </c>
      <c r="T43" s="471">
        <f t="shared" si="2"/>
        <v>3997.7</v>
      </c>
      <c r="U43" s="471">
        <f t="shared" si="2"/>
        <v>-649.01</v>
      </c>
      <c r="V43" s="471">
        <f t="shared" si="2"/>
        <v>0</v>
      </c>
      <c r="W43" s="471">
        <f t="shared" si="2"/>
        <v>19939.71</v>
      </c>
      <c r="X43" s="471">
        <f t="shared" si="2"/>
        <v>0</v>
      </c>
      <c r="Y43" s="471">
        <f t="shared" si="2"/>
        <v>0</v>
      </c>
      <c r="Z43" s="471">
        <f t="shared" si="2"/>
        <v>0</v>
      </c>
      <c r="AA43" s="471">
        <f t="shared" si="2"/>
        <v>0</v>
      </c>
      <c r="AB43" s="471">
        <f t="shared" si="2"/>
        <v>0</v>
      </c>
      <c r="AC43" s="471">
        <f t="shared" si="2"/>
        <v>0</v>
      </c>
    </row>
    <row r="44" spans="1:31" s="1" customFormat="1" ht="12">
      <c r="B44" s="399"/>
      <c r="C44" s="761">
        <f>C31</f>
        <v>0</v>
      </c>
      <c r="D44" s="351"/>
      <c r="E44" s="351"/>
      <c r="F44" s="351"/>
      <c r="G44" s="351"/>
      <c r="H44" s="351"/>
      <c r="I44" s="351"/>
      <c r="J44" s="351"/>
      <c r="K44" s="351"/>
      <c r="L44" s="351"/>
      <c r="M44" s="351"/>
      <c r="N44" s="351"/>
      <c r="O44" s="351"/>
      <c r="P44" s="351"/>
      <c r="Q44" s="351"/>
      <c r="R44" s="351"/>
      <c r="S44" s="351"/>
      <c r="T44" s="351"/>
      <c r="U44" s="351"/>
      <c r="V44" s="351"/>
      <c r="W44" s="351"/>
      <c r="Y44" s="399"/>
      <c r="Z44" s="399"/>
      <c r="AA44" s="399"/>
      <c r="AB44" s="399"/>
      <c r="AC44" s="399"/>
      <c r="AD44" s="399"/>
      <c r="AE44" s="399">
        <f>SUM(AB3:AB42)</f>
        <v>0</v>
      </c>
    </row>
    <row r="45" spans="1:31" s="1" customFormat="1" ht="12">
      <c r="B45" s="399"/>
      <c r="C45" s="761"/>
      <c r="D45" s="351"/>
      <c r="E45" s="351"/>
      <c r="F45" s="351"/>
      <c r="G45" s="351"/>
      <c r="H45" s="351"/>
      <c r="I45" s="351"/>
      <c r="J45" s="351"/>
      <c r="K45" s="351"/>
      <c r="L45" s="351"/>
      <c r="M45" s="351"/>
      <c r="N45" s="351"/>
      <c r="O45" s="351"/>
      <c r="P45" s="351"/>
      <c r="Q45" s="351"/>
      <c r="R45" s="351"/>
      <c r="S45" s="351"/>
      <c r="T45" s="351"/>
      <c r="U45" s="351"/>
      <c r="V45" s="351"/>
      <c r="W45" s="351"/>
    </row>
    <row r="46" spans="1:31" s="1" customFormat="1" ht="12">
      <c r="B46" s="399"/>
      <c r="C46" s="761"/>
      <c r="D46" s="351"/>
      <c r="E46" s="351"/>
      <c r="F46" s="351"/>
      <c r="G46" s="351"/>
      <c r="H46" s="351"/>
      <c r="I46" s="351"/>
      <c r="J46" s="351"/>
      <c r="K46" s="351"/>
      <c r="L46" s="351"/>
      <c r="M46" s="351"/>
      <c r="N46" s="351"/>
      <c r="O46" s="351"/>
      <c r="P46" s="351"/>
      <c r="Q46" s="351"/>
      <c r="R46" s="351"/>
      <c r="S46" s="351"/>
      <c r="T46" s="351"/>
      <c r="U46" s="351"/>
      <c r="V46" s="351"/>
      <c r="W46" s="351"/>
    </row>
    <row r="47" spans="1:31" s="1" customFormat="1" ht="35.450000000000003" customHeight="1">
      <c r="A47" s="305"/>
      <c r="B47" s="910" t="s">
        <v>217</v>
      </c>
      <c r="C47" s="954"/>
      <c r="D47" s="954"/>
      <c r="E47" s="954"/>
      <c r="F47" s="911"/>
      <c r="G47" s="926" t="s">
        <v>128</v>
      </c>
      <c r="H47" s="955"/>
      <c r="I47" s="955"/>
      <c r="J47" s="927"/>
      <c r="K47" s="887" t="s">
        <v>107</v>
      </c>
      <c r="L47" s="887"/>
      <c r="M47" s="926" t="s">
        <v>243</v>
      </c>
      <c r="N47" s="927"/>
      <c r="O47" s="960" t="s">
        <v>102</v>
      </c>
      <c r="P47" s="961"/>
      <c r="Q47" s="795"/>
      <c r="R47" s="937" t="s">
        <v>180</v>
      </c>
      <c r="S47" s="938"/>
      <c r="T47" s="956" t="s">
        <v>353</v>
      </c>
      <c r="U47" s="957"/>
      <c r="V47" s="958" t="s">
        <v>354</v>
      </c>
      <c r="W47" s="959"/>
      <c r="X47" s="952" t="s">
        <v>355</v>
      </c>
      <c r="Y47" s="953"/>
      <c r="Z47" s="962" t="s">
        <v>356</v>
      </c>
      <c r="AA47" s="963"/>
      <c r="AB47" s="886" t="s">
        <v>206</v>
      </c>
      <c r="AC47" s="887"/>
    </row>
    <row r="48" spans="1:31" s="1" customFormat="1" ht="12">
      <c r="A48" s="395"/>
      <c r="B48" s="328" t="s">
        <v>4</v>
      </c>
      <c r="C48" s="762" t="s">
        <v>245</v>
      </c>
      <c r="D48" s="328" t="s">
        <v>361</v>
      </c>
      <c r="E48" s="328" t="s">
        <v>362</v>
      </c>
      <c r="F48" s="328"/>
      <c r="G48" s="328" t="s">
        <v>4</v>
      </c>
      <c r="H48" s="328"/>
      <c r="I48" s="328"/>
      <c r="J48" s="328"/>
      <c r="K48" s="462" t="s">
        <v>4</v>
      </c>
      <c r="L48" s="462" t="s">
        <v>93</v>
      </c>
      <c r="M48" s="328" t="s">
        <v>24</v>
      </c>
      <c r="N48" s="328" t="s">
        <v>104</v>
      </c>
      <c r="O48" s="328" t="s">
        <v>4</v>
      </c>
      <c r="P48" s="328" t="s">
        <v>94</v>
      </c>
      <c r="Q48" s="791"/>
      <c r="R48" s="792" t="s">
        <v>4</v>
      </c>
      <c r="S48" s="792" t="s">
        <v>94</v>
      </c>
      <c r="T48" s="575" t="s">
        <v>4</v>
      </c>
      <c r="U48" s="575" t="s">
        <v>94</v>
      </c>
      <c r="V48" s="371" t="s">
        <v>4</v>
      </c>
      <c r="W48" s="371" t="s">
        <v>94</v>
      </c>
      <c r="X48" s="466" t="s">
        <v>4</v>
      </c>
      <c r="Y48" s="466" t="s">
        <v>94</v>
      </c>
      <c r="Z48" s="467" t="s">
        <v>4</v>
      </c>
      <c r="AA48" s="467" t="s">
        <v>94</v>
      </c>
      <c r="AB48" s="797" t="s">
        <v>4</v>
      </c>
      <c r="AC48" s="797" t="s">
        <v>94</v>
      </c>
    </row>
    <row r="49" spans="1:48" s="1" customFormat="1" ht="12">
      <c r="A49" s="484" t="s">
        <v>23</v>
      </c>
      <c r="B49" s="399"/>
      <c r="C49" s="759"/>
      <c r="D49" s="399"/>
      <c r="E49" s="399"/>
      <c r="F49" s="399"/>
      <c r="G49" s="481"/>
      <c r="H49" s="481"/>
      <c r="I49" s="481"/>
      <c r="J49" s="481"/>
      <c r="K49" s="399"/>
      <c r="L49" s="399"/>
      <c r="M49" s="481"/>
      <c r="N49" s="481"/>
      <c r="O49" s="399"/>
      <c r="P49" s="399"/>
      <c r="Q49" s="399"/>
      <c r="R49" s="509"/>
      <c r="S49" s="509"/>
      <c r="T49" s="576"/>
      <c r="U49" s="576"/>
      <c r="V49" s="510"/>
      <c r="W49" s="510"/>
      <c r="X49" s="511"/>
      <c r="Y49" s="773"/>
      <c r="Z49" s="507"/>
      <c r="AA49" s="507"/>
      <c r="AB49" s="519"/>
      <c r="AC49" s="519"/>
      <c r="AF49" s="351"/>
      <c r="AG49" s="351"/>
      <c r="AH49" s="351"/>
      <c r="AI49" s="351"/>
      <c r="AJ49" s="351"/>
      <c r="AK49" s="351"/>
      <c r="AL49" s="351"/>
      <c r="AM49" s="351"/>
      <c r="AN49" s="351"/>
      <c r="AO49" s="351"/>
      <c r="AP49" s="351"/>
      <c r="AQ49" s="351"/>
      <c r="AR49" s="351"/>
      <c r="AS49" s="351"/>
      <c r="AT49" s="351"/>
      <c r="AU49" s="471"/>
      <c r="AV49" s="471"/>
    </row>
    <row r="50" spans="1:48">
      <c r="A50" s="502" t="s">
        <v>146</v>
      </c>
      <c r="B50" s="512"/>
      <c r="C50" s="756"/>
      <c r="D50" s="512"/>
      <c r="E50" s="512"/>
      <c r="F50" s="512"/>
      <c r="G50" s="512"/>
      <c r="H50" s="512"/>
      <c r="I50" s="512"/>
      <c r="J50" s="512"/>
      <c r="K50" s="512"/>
      <c r="L50" s="512"/>
      <c r="M50" s="512"/>
      <c r="N50" s="512"/>
      <c r="O50" s="512"/>
      <c r="P50" s="512"/>
      <c r="Q50" s="512"/>
      <c r="R50" s="512"/>
      <c r="S50" s="512"/>
      <c r="T50" s="512"/>
      <c r="U50" s="512"/>
      <c r="V50" s="512"/>
      <c r="W50" s="512"/>
      <c r="X50" s="512"/>
      <c r="Y50" s="512"/>
      <c r="Z50" s="512"/>
      <c r="AA50" s="512"/>
      <c r="AB50" s="512"/>
      <c r="AC50" s="512"/>
      <c r="AD50"/>
      <c r="AE50"/>
      <c r="AF50" s="351"/>
      <c r="AG50" s="351"/>
      <c r="AH50" s="351"/>
      <c r="AI50" s="351"/>
      <c r="AJ50" s="351"/>
      <c r="AK50" s="351"/>
      <c r="AL50" s="351"/>
      <c r="AM50" s="351"/>
      <c r="AN50" s="351"/>
      <c r="AO50" s="351"/>
      <c r="AP50" s="351"/>
      <c r="AQ50" s="351"/>
      <c r="AR50" s="351"/>
      <c r="AS50" s="351"/>
      <c r="AT50" s="351"/>
      <c r="AU50" s="471"/>
      <c r="AV50" s="471"/>
    </row>
    <row r="51" spans="1:48" s="1" customFormat="1">
      <c r="A51" s="752" t="s">
        <v>341</v>
      </c>
      <c r="D51" s="596"/>
      <c r="E51" s="596"/>
      <c r="F51" s="596"/>
      <c r="G51" s="596"/>
      <c r="H51" s="596"/>
      <c r="I51" s="596"/>
      <c r="J51" s="596"/>
      <c r="K51" s="596"/>
      <c r="L51" s="596"/>
      <c r="M51" s="753"/>
      <c r="N51" s="481"/>
      <c r="O51" s="596"/>
      <c r="P51" s="399"/>
      <c r="Q51" s="399"/>
      <c r="R51" s="513"/>
      <c r="S51" s="513"/>
      <c r="T51" s="753">
        <f t="shared" ref="T51:W51" si="3">M51</f>
        <v>0</v>
      </c>
      <c r="U51" s="574">
        <f t="shared" si="3"/>
        <v>0</v>
      </c>
      <c r="V51" s="510">
        <f t="shared" si="3"/>
        <v>0</v>
      </c>
      <c r="W51" s="510">
        <f t="shared" si="3"/>
        <v>0</v>
      </c>
      <c r="X51" s="511"/>
      <c r="Y51" s="511"/>
      <c r="Z51" s="507"/>
      <c r="AA51" s="507"/>
      <c r="AB51" s="519"/>
      <c r="AC51" s="519"/>
      <c r="AF51" s="351"/>
      <c r="AG51" s="351"/>
      <c r="AH51" s="351"/>
      <c r="AI51" s="351"/>
      <c r="AJ51" s="351"/>
      <c r="AK51" s="351"/>
      <c r="AL51" s="517"/>
      <c r="AM51" s="351"/>
      <c r="AN51" s="351"/>
      <c r="AO51" s="351"/>
      <c r="AP51" s="351"/>
      <c r="AQ51" s="351"/>
      <c r="AR51" s="351"/>
      <c r="AS51" s="351"/>
      <c r="AT51" s="351"/>
      <c r="AU51" s="351"/>
      <c r="AV51" s="351"/>
    </row>
    <row r="52" spans="1:48" s="1" customFormat="1" ht="21" customHeight="1">
      <c r="A52" s="477" t="s">
        <v>154</v>
      </c>
      <c r="D52" s="596"/>
      <c r="E52" s="596"/>
      <c r="F52" s="596"/>
      <c r="G52" s="596"/>
      <c r="H52" s="596"/>
      <c r="I52" s="596"/>
      <c r="J52" s="596"/>
      <c r="K52" s="596"/>
      <c r="L52" s="596"/>
      <c r="M52" s="753"/>
      <c r="N52" s="481"/>
      <c r="O52" s="519">
        <v>183.9</v>
      </c>
      <c r="P52" s="399">
        <v>-183.9</v>
      </c>
      <c r="Q52" s="399"/>
      <c r="R52" s="513"/>
      <c r="S52" s="513"/>
      <c r="T52" s="753"/>
      <c r="U52" s="574"/>
      <c r="V52" s="510"/>
      <c r="W52" s="510"/>
      <c r="X52" s="511"/>
      <c r="Y52" s="511"/>
      <c r="Z52" s="507"/>
      <c r="AA52" s="507"/>
      <c r="AB52" s="519">
        <f>O52</f>
        <v>183.9</v>
      </c>
      <c r="AC52" s="519">
        <f>P52</f>
        <v>-183.9</v>
      </c>
      <c r="AF52" s="351"/>
      <c r="AG52" s="351"/>
      <c r="AH52" s="351"/>
      <c r="AI52" s="351"/>
      <c r="AJ52" s="351"/>
      <c r="AK52" s="351"/>
      <c r="AL52" s="517"/>
      <c r="AM52" s="351"/>
      <c r="AN52" s="351"/>
      <c r="AO52" s="351"/>
      <c r="AP52" s="351"/>
      <c r="AQ52" s="351"/>
      <c r="AR52" s="351"/>
      <c r="AS52" s="351"/>
      <c r="AT52" s="351"/>
      <c r="AU52" s="351"/>
      <c r="AV52" s="351"/>
    </row>
    <row r="53" spans="1:48" ht="15.75" customHeight="1">
      <c r="A53" s="477" t="s">
        <v>154</v>
      </c>
      <c r="B53" s="399"/>
      <c r="C53" s="759"/>
      <c r="D53" s="399"/>
      <c r="E53" s="399"/>
      <c r="F53" s="399"/>
      <c r="G53" s="481"/>
      <c r="H53" s="481"/>
      <c r="I53" s="481"/>
      <c r="J53" s="481"/>
      <c r="K53" s="399"/>
      <c r="L53" s="399"/>
      <c r="M53" s="753">
        <v>500</v>
      </c>
      <c r="O53" s="510">
        <v>340</v>
      </c>
      <c r="P53" s="399">
        <f>-11.21-116.36-26.96-11.26--6.5</f>
        <v>-159.29</v>
      </c>
      <c r="Q53" s="399"/>
      <c r="R53" s="513"/>
      <c r="S53" s="513"/>
      <c r="T53" s="753">
        <f>M53</f>
        <v>500</v>
      </c>
      <c r="U53" s="753"/>
      <c r="V53" s="510">
        <f>O53</f>
        <v>340</v>
      </c>
      <c r="W53" s="510">
        <f>P53</f>
        <v>-159.29</v>
      </c>
      <c r="X53" s="511"/>
      <c r="Y53" s="511"/>
      <c r="Z53" s="507"/>
      <c r="AA53" s="507"/>
      <c r="AB53" s="519"/>
      <c r="AC53" s="519"/>
      <c r="AD53"/>
      <c r="AE53"/>
      <c r="AV53" s="321"/>
    </row>
    <row r="54" spans="1:48">
      <c r="A54" s="477" t="s">
        <v>140</v>
      </c>
      <c r="B54" s="513">
        <v>200</v>
      </c>
      <c r="C54" s="506">
        <v>-172.8</v>
      </c>
      <c r="D54" s="399"/>
      <c r="E54" s="399"/>
      <c r="F54" s="399"/>
      <c r="G54" s="481"/>
      <c r="H54" s="481"/>
      <c r="I54" s="481"/>
      <c r="J54" s="481"/>
      <c r="K54" s="399"/>
      <c r="L54" s="399"/>
      <c r="M54" s="574"/>
      <c r="N54" s="481"/>
      <c r="O54" s="513"/>
      <c r="P54" s="514"/>
      <c r="Q54" s="514"/>
      <c r="R54" s="513">
        <f>B54</f>
        <v>200</v>
      </c>
      <c r="S54" s="513">
        <f>C54</f>
        <v>-172.8</v>
      </c>
      <c r="T54" s="574">
        <f t="shared" ref="T54:U56" si="4">M54</f>
        <v>0</v>
      </c>
      <c r="U54" s="574">
        <f t="shared" si="4"/>
        <v>0</v>
      </c>
      <c r="V54" s="510"/>
      <c r="W54" s="510"/>
      <c r="X54" s="511"/>
      <c r="Y54" s="511"/>
      <c r="Z54" s="507"/>
      <c r="AA54" s="507"/>
      <c r="AB54" s="519"/>
      <c r="AC54" s="519"/>
      <c r="AD54"/>
      <c r="AE54"/>
      <c r="AV54" s="321"/>
    </row>
    <row r="55" spans="1:48">
      <c r="A55" s="477" t="s">
        <v>139</v>
      </c>
      <c r="B55" s="513">
        <v>250</v>
      </c>
      <c r="C55" s="759"/>
      <c r="D55" s="399"/>
      <c r="E55" s="399"/>
      <c r="F55" s="399"/>
      <c r="G55" s="481"/>
      <c r="H55" s="481"/>
      <c r="I55" s="481"/>
      <c r="J55" s="481"/>
      <c r="K55" s="399"/>
      <c r="L55" s="399"/>
      <c r="M55" s="574">
        <v>450</v>
      </c>
      <c r="N55" s="481"/>
      <c r="O55" s="510">
        <v>210</v>
      </c>
      <c r="P55" s="399">
        <v>-208.13</v>
      </c>
      <c r="Q55" s="796"/>
      <c r="R55" s="513">
        <f>B55</f>
        <v>250</v>
      </c>
      <c r="S55" s="513">
        <f>C55</f>
        <v>0</v>
      </c>
      <c r="T55" s="574">
        <f>M55</f>
        <v>450</v>
      </c>
      <c r="U55" s="574">
        <f t="shared" si="4"/>
        <v>0</v>
      </c>
      <c r="V55" s="510">
        <f>O55</f>
        <v>210</v>
      </c>
      <c r="W55" s="510">
        <f>P55</f>
        <v>-208.13</v>
      </c>
      <c r="X55" s="511"/>
      <c r="Y55" s="511"/>
      <c r="Z55" s="507"/>
      <c r="AA55" s="507"/>
      <c r="AB55" s="519"/>
      <c r="AC55" s="519"/>
      <c r="AD55"/>
      <c r="AE55"/>
      <c r="AV55" s="321"/>
    </row>
    <row r="56" spans="1:48">
      <c r="A56" s="477" t="s">
        <v>138</v>
      </c>
      <c r="B56" s="399"/>
      <c r="C56" s="759"/>
      <c r="D56" s="399"/>
      <c r="E56" s="399"/>
      <c r="F56" s="399"/>
      <c r="G56" s="481"/>
      <c r="H56" s="481"/>
      <c r="I56" s="481"/>
      <c r="J56" s="481"/>
      <c r="K56" s="399"/>
      <c r="L56" s="399"/>
      <c r="M56" s="621">
        <v>150</v>
      </c>
      <c r="N56" s="481"/>
      <c r="O56" s="514"/>
      <c r="P56" s="399"/>
      <c r="Q56" s="399"/>
      <c r="R56" s="513"/>
      <c r="S56" s="513"/>
      <c r="T56" s="574">
        <f>M56</f>
        <v>150</v>
      </c>
      <c r="U56" s="574">
        <f t="shared" si="4"/>
        <v>0</v>
      </c>
      <c r="V56" s="656"/>
      <c r="W56" s="656"/>
      <c r="X56" s="657"/>
      <c r="Y56" s="657"/>
      <c r="Z56" s="658"/>
      <c r="AA56" s="658"/>
      <c r="AB56" s="659"/>
      <c r="AC56" s="659"/>
      <c r="AD56"/>
      <c r="AE56"/>
      <c r="AV56" s="321"/>
    </row>
    <row r="57" spans="1:48">
      <c r="A57" s="477" t="s">
        <v>141</v>
      </c>
      <c r="B57" s="399"/>
      <c r="C57" s="759"/>
      <c r="D57" s="399"/>
      <c r="E57" s="399"/>
      <c r="F57" s="399"/>
      <c r="G57" s="481"/>
      <c r="H57" s="481"/>
      <c r="I57" s="481"/>
      <c r="J57" s="481"/>
      <c r="K57" s="514"/>
      <c r="L57" s="399"/>
      <c r="M57" s="620"/>
      <c r="N57" s="481"/>
      <c r="O57" s="513"/>
      <c r="P57" s="399"/>
      <c r="Q57" s="399"/>
      <c r="R57" s="513">
        <f>O57</f>
        <v>0</v>
      </c>
      <c r="S57" s="513">
        <f>P57</f>
        <v>0</v>
      </c>
      <c r="T57" s="574"/>
      <c r="U57" s="655"/>
      <c r="V57" s="656"/>
      <c r="W57" s="656"/>
      <c r="X57" s="657"/>
      <c r="Y57" s="657"/>
      <c r="Z57" s="658"/>
      <c r="AA57" s="658"/>
      <c r="AB57" s="659"/>
      <c r="AC57" s="659"/>
      <c r="AD57" s="653"/>
      <c r="AE57" s="653"/>
      <c r="AF57" s="653"/>
      <c r="AG57" s="653"/>
      <c r="AV57" s="321"/>
    </row>
    <row r="58" spans="1:48">
      <c r="A58" s="477" t="s">
        <v>9</v>
      </c>
      <c r="B58" s="519">
        <v>17.45</v>
      </c>
      <c r="C58" s="759">
        <v>-17.45</v>
      </c>
      <c r="D58" s="399"/>
      <c r="E58" s="399"/>
      <c r="F58" s="399"/>
      <c r="G58" s="656">
        <v>100</v>
      </c>
      <c r="H58" s="481"/>
      <c r="I58" s="481"/>
      <c r="J58" s="481"/>
      <c r="K58" s="656">
        <v>746.86</v>
      </c>
      <c r="L58" s="399"/>
      <c r="M58" s="620"/>
      <c r="N58" s="481"/>
      <c r="O58" s="514"/>
      <c r="P58" s="399"/>
      <c r="Q58" s="399"/>
      <c r="R58" s="513"/>
      <c r="S58" s="513"/>
      <c r="T58" s="574"/>
      <c r="U58" s="655"/>
      <c r="V58" s="656">
        <f>K58+G58</f>
        <v>846.86</v>
      </c>
      <c r="W58" s="656">
        <f>L58+H58</f>
        <v>0</v>
      </c>
      <c r="X58" s="657"/>
      <c r="Y58" s="657"/>
      <c r="Z58" s="658"/>
      <c r="AA58" s="658"/>
      <c r="AB58" s="659">
        <f>B58</f>
        <v>17.45</v>
      </c>
      <c r="AC58" s="519">
        <f>C58</f>
        <v>-17.45</v>
      </c>
      <c r="AD58" s="653"/>
      <c r="AE58" s="653"/>
      <c r="AF58" s="653"/>
      <c r="AG58" s="653"/>
      <c r="AV58" s="321"/>
    </row>
    <row r="59" spans="1:48">
      <c r="A59" s="477" t="s">
        <v>9</v>
      </c>
      <c r="B59" s="574">
        <f>5000</f>
        <v>5000</v>
      </c>
      <c r="C59" s="759"/>
      <c r="D59" s="399"/>
      <c r="E59" s="399"/>
      <c r="F59" s="399"/>
      <c r="G59" s="574">
        <v>3000</v>
      </c>
      <c r="H59" s="481"/>
      <c r="I59" s="481"/>
      <c r="J59" s="481"/>
      <c r="K59" s="574">
        <v>900</v>
      </c>
      <c r="L59" s="399"/>
      <c r="M59" s="621">
        <v>800</v>
      </c>
      <c r="N59" s="481">
        <f>-192.6-41.81-101.16-52.29-42.27-43.38-10.21</f>
        <v>-483.71999999999997</v>
      </c>
      <c r="O59" s="510">
        <v>250</v>
      </c>
      <c r="P59" s="399">
        <f>-62.95+1.45-24.79-18.45+13.13-57.39</f>
        <v>-149</v>
      </c>
      <c r="Q59" s="399"/>
      <c r="R59" s="513"/>
      <c r="S59" s="513"/>
      <c r="T59" s="574">
        <f>M59+K59+G59+B59</f>
        <v>9700</v>
      </c>
      <c r="U59" s="574">
        <f>+H59+C59+N59</f>
        <v>-483.71999999999997</v>
      </c>
      <c r="V59" s="656">
        <f>O59</f>
        <v>250</v>
      </c>
      <c r="W59" s="656">
        <f>P59</f>
        <v>-149</v>
      </c>
      <c r="X59" s="657"/>
      <c r="Y59" s="657"/>
      <c r="Z59" s="658"/>
      <c r="AA59" s="658"/>
      <c r="AB59" s="659"/>
      <c r="AC59" s="659"/>
      <c r="AD59" s="653"/>
      <c r="AE59" s="653"/>
      <c r="AF59" s="653"/>
      <c r="AG59" s="653"/>
      <c r="AV59" s="321"/>
    </row>
    <row r="60" spans="1:48">
      <c r="A60" s="477" t="s">
        <v>215</v>
      </c>
      <c r="B60" s="514"/>
      <c r="C60" s="759"/>
      <c r="D60" s="399"/>
      <c r="E60" s="399"/>
      <c r="F60" s="399"/>
      <c r="G60" s="790"/>
      <c r="H60" s="481"/>
      <c r="I60" s="481"/>
      <c r="J60" s="481"/>
      <c r="K60" s="596"/>
      <c r="L60" s="596"/>
      <c r="M60" s="621">
        <v>50</v>
      </c>
      <c r="N60" s="481">
        <v>-3</v>
      </c>
      <c r="O60" s="481"/>
      <c r="P60" s="399"/>
      <c r="Q60" s="399"/>
      <c r="R60" s="513"/>
      <c r="S60" s="513"/>
      <c r="T60" s="574">
        <f>M60</f>
        <v>50</v>
      </c>
      <c r="U60" s="574">
        <f>N60</f>
        <v>-3</v>
      </c>
      <c r="V60" s="656"/>
      <c r="W60" s="656"/>
      <c r="X60" s="657"/>
      <c r="Y60" s="657"/>
      <c r="Z60" s="658"/>
      <c r="AA60" s="658"/>
      <c r="AB60" s="659">
        <f>O60</f>
        <v>0</v>
      </c>
      <c r="AC60" s="659"/>
      <c r="AD60" s="653"/>
      <c r="AE60" s="653"/>
      <c r="AF60" s="653"/>
      <c r="AG60" s="653"/>
      <c r="AV60" s="321"/>
    </row>
    <row r="61" spans="1:48">
      <c r="A61" s="477" t="s">
        <v>215</v>
      </c>
      <c r="B61" s="399"/>
      <c r="C61" s="759"/>
      <c r="D61" s="399"/>
      <c r="E61" s="399"/>
      <c r="F61" s="399"/>
      <c r="G61" s="513">
        <v>300</v>
      </c>
      <c r="H61" s="481"/>
      <c r="I61" s="481"/>
      <c r="J61" s="481"/>
      <c r="K61" s="399"/>
      <c r="L61" s="399"/>
      <c r="M61" s="620"/>
      <c r="N61" s="481"/>
      <c r="O61" s="656">
        <v>100</v>
      </c>
      <c r="P61" s="399">
        <f>-2-12</f>
        <v>-14</v>
      </c>
      <c r="Q61" s="399"/>
      <c r="R61" s="513">
        <f>G61</f>
        <v>300</v>
      </c>
      <c r="S61" s="513"/>
      <c r="T61" s="574"/>
      <c r="U61" s="655"/>
      <c r="V61" s="656">
        <f>O61</f>
        <v>100</v>
      </c>
      <c r="W61" s="656">
        <f>P61</f>
        <v>-14</v>
      </c>
      <c r="X61" s="657"/>
      <c r="Y61" s="657"/>
      <c r="Z61" s="658"/>
      <c r="AA61" s="658"/>
      <c r="AB61" s="659"/>
      <c r="AC61" s="659"/>
      <c r="AD61" s="653"/>
      <c r="AE61" s="653"/>
      <c r="AF61" s="653"/>
      <c r="AG61" s="653"/>
      <c r="AV61" s="321"/>
    </row>
    <row r="62" spans="1:48">
      <c r="A62" s="502" t="s">
        <v>147</v>
      </c>
      <c r="B62" s="512"/>
      <c r="C62" s="756"/>
      <c r="D62" s="512"/>
      <c r="E62" s="512"/>
      <c r="F62" s="512"/>
      <c r="G62" s="512"/>
      <c r="H62" s="512"/>
      <c r="I62" s="512"/>
      <c r="J62" s="512"/>
      <c r="K62" s="512"/>
      <c r="L62" s="512"/>
      <c r="M62" s="613"/>
      <c r="N62" s="512"/>
      <c r="O62" s="512"/>
      <c r="P62" s="512"/>
      <c r="Q62" s="512"/>
      <c r="R62" s="512"/>
      <c r="S62" s="512"/>
      <c r="T62" s="512"/>
      <c r="U62" s="652"/>
      <c r="V62" s="652"/>
      <c r="W62" s="652"/>
      <c r="X62" s="652"/>
      <c r="Y62" s="652"/>
      <c r="Z62" s="652"/>
      <c r="AA62" s="652"/>
      <c r="AB62" s="652"/>
      <c r="AC62" s="652"/>
      <c r="AD62" s="654"/>
      <c r="AE62" s="654"/>
      <c r="AF62" s="654"/>
      <c r="AG62" s="654"/>
      <c r="AV62" s="321"/>
    </row>
    <row r="63" spans="1:48">
      <c r="A63" s="477" t="s">
        <v>239</v>
      </c>
      <c r="B63" s="399"/>
      <c r="C63" s="759"/>
      <c r="D63" s="399"/>
      <c r="E63" s="399"/>
      <c r="F63" s="399"/>
      <c r="G63" s="399"/>
      <c r="H63" s="399"/>
      <c r="I63" s="399"/>
      <c r="J63" s="399"/>
      <c r="K63" s="399"/>
      <c r="L63" s="399"/>
      <c r="M63" s="612"/>
      <c r="N63" s="399"/>
      <c r="O63" s="513">
        <v>575</v>
      </c>
      <c r="P63" s="399">
        <v>-280</v>
      </c>
      <c r="Q63" s="399"/>
      <c r="R63" s="513">
        <f>O63</f>
        <v>575</v>
      </c>
      <c r="S63" s="513">
        <f>P63</f>
        <v>-280</v>
      </c>
      <c r="T63" s="574"/>
      <c r="U63" s="574"/>
      <c r="V63" s="656"/>
      <c r="W63" s="656"/>
      <c r="X63" s="657"/>
      <c r="Y63" s="657"/>
      <c r="Z63" s="658"/>
      <c r="AA63" s="658"/>
      <c r="AB63" s="659"/>
      <c r="AC63" s="659"/>
      <c r="AD63" s="653"/>
      <c r="AE63" s="653"/>
      <c r="AF63" s="653"/>
      <c r="AG63" s="653"/>
      <c r="AV63" s="321"/>
    </row>
    <row r="64" spans="1:48">
      <c r="A64" s="477" t="s">
        <v>238</v>
      </c>
      <c r="B64" s="399"/>
      <c r="C64" s="759"/>
      <c r="D64" s="399"/>
      <c r="E64" s="399"/>
      <c r="F64" s="399"/>
      <c r="G64" s="399"/>
      <c r="H64" s="399"/>
      <c r="I64" s="399"/>
      <c r="J64" s="399"/>
      <c r="K64" s="399"/>
      <c r="L64" s="399"/>
      <c r="M64" s="612"/>
      <c r="N64" s="399"/>
      <c r="O64" s="513">
        <f>40*12</f>
        <v>480</v>
      </c>
      <c r="P64" s="399">
        <v>-315</v>
      </c>
      <c r="Q64" s="399"/>
      <c r="R64" s="513">
        <f>O64</f>
        <v>480</v>
      </c>
      <c r="S64" s="513">
        <f>P64</f>
        <v>-315</v>
      </c>
      <c r="T64" s="574"/>
      <c r="U64" s="574"/>
      <c r="V64" s="656"/>
      <c r="W64" s="656"/>
      <c r="X64" s="657"/>
      <c r="Y64" s="657"/>
      <c r="Z64" s="658"/>
      <c r="AA64" s="658"/>
      <c r="AB64" s="659"/>
      <c r="AC64" s="659"/>
      <c r="AD64" s="653"/>
      <c r="AE64" s="653"/>
      <c r="AF64" s="653"/>
      <c r="AG64" s="653"/>
      <c r="AV64" s="321"/>
    </row>
    <row r="65" spans="1:48">
      <c r="A65" s="477" t="s">
        <v>142</v>
      </c>
      <c r="B65" s="399"/>
      <c r="C65" s="759"/>
      <c r="D65" s="399"/>
      <c r="E65" s="399"/>
      <c r="F65" s="399"/>
      <c r="G65" s="481"/>
      <c r="H65" s="481"/>
      <c r="I65" s="481"/>
      <c r="J65" s="481"/>
      <c r="K65" s="399"/>
      <c r="L65" s="399"/>
      <c r="M65" s="620"/>
      <c r="N65" s="481"/>
      <c r="O65" s="399"/>
      <c r="P65" s="399"/>
      <c r="Q65" s="399"/>
      <c r="R65" s="513"/>
      <c r="S65" s="513"/>
      <c r="T65" s="574"/>
      <c r="U65" s="574"/>
      <c r="V65" s="656"/>
      <c r="W65" s="656"/>
      <c r="X65" s="657"/>
      <c r="Y65" s="657"/>
      <c r="Z65" s="658"/>
      <c r="AA65" s="658"/>
      <c r="AB65" s="659"/>
      <c r="AC65" s="659"/>
      <c r="AD65" s="653"/>
      <c r="AE65" s="653"/>
      <c r="AF65" s="653"/>
      <c r="AG65" s="653"/>
      <c r="AV65" s="321"/>
    </row>
    <row r="66" spans="1:48">
      <c r="A66" s="477" t="s">
        <v>143</v>
      </c>
      <c r="B66" s="399"/>
      <c r="C66" s="759"/>
      <c r="D66" s="399"/>
      <c r="E66" s="399"/>
      <c r="F66" s="399"/>
      <c r="G66" s="481"/>
      <c r="H66" s="481"/>
      <c r="I66" s="481"/>
      <c r="J66" s="481"/>
      <c r="K66" s="399"/>
      <c r="L66" s="399"/>
      <c r="M66" s="620"/>
      <c r="N66" s="481"/>
      <c r="O66" s="399"/>
      <c r="P66" s="399"/>
      <c r="Q66" s="399"/>
      <c r="R66" s="513"/>
      <c r="S66" s="513"/>
      <c r="T66" s="574"/>
      <c r="U66" s="574"/>
      <c r="V66" s="656"/>
      <c r="W66" s="656"/>
      <c r="X66" s="657"/>
      <c r="Y66" s="657"/>
      <c r="Z66" s="658"/>
      <c r="AA66" s="658"/>
      <c r="AB66" s="659"/>
      <c r="AC66" s="659"/>
      <c r="AD66" s="653"/>
      <c r="AE66" s="653"/>
      <c r="AF66" s="653"/>
      <c r="AG66" s="653"/>
      <c r="AV66" s="321"/>
    </row>
    <row r="67" spans="1:48" ht="15.75" customHeight="1">
      <c r="A67" s="477" t="s">
        <v>144</v>
      </c>
      <c r="B67" s="399"/>
      <c r="C67" s="759"/>
      <c r="D67" s="399"/>
      <c r="E67" s="399"/>
      <c r="F67" s="399"/>
      <c r="G67" s="481"/>
      <c r="H67" s="481"/>
      <c r="I67" s="481"/>
      <c r="J67" s="481"/>
      <c r="K67" s="656">
        <v>1781.75</v>
      </c>
      <c r="L67" s="656">
        <f>-293.4-281.98-500.4+40.89-746.86</f>
        <v>-1781.75</v>
      </c>
      <c r="N67" s="481"/>
      <c r="O67" s="399"/>
      <c r="P67" s="399"/>
      <c r="Q67" s="399"/>
      <c r="R67" s="513"/>
      <c r="S67" s="513"/>
      <c r="T67" s="574"/>
      <c r="U67" s="574"/>
      <c r="V67" s="656">
        <f>K67</f>
        <v>1781.75</v>
      </c>
      <c r="W67" s="656">
        <f>L67</f>
        <v>-1781.75</v>
      </c>
      <c r="X67" s="657"/>
      <c r="Y67" s="657"/>
      <c r="Z67" s="658"/>
      <c r="AA67" s="658"/>
      <c r="AB67" s="659"/>
      <c r="AC67" s="659"/>
      <c r="AD67" s="653"/>
      <c r="AE67" s="653"/>
      <c r="AF67" s="653"/>
      <c r="AG67" s="653"/>
      <c r="AV67" s="321"/>
    </row>
    <row r="68" spans="1:48">
      <c r="A68" s="477" t="s">
        <v>145</v>
      </c>
      <c r="B68" s="399"/>
      <c r="C68" s="759"/>
      <c r="D68" s="399"/>
      <c r="E68" s="399"/>
      <c r="F68" s="399"/>
      <c r="G68" s="481"/>
      <c r="H68" s="481"/>
      <c r="I68" s="481"/>
      <c r="J68" s="481"/>
      <c r="K68" s="399"/>
      <c r="L68" s="399"/>
      <c r="M68" s="620"/>
      <c r="N68" s="481"/>
      <c r="O68" s="399"/>
      <c r="P68" s="399"/>
      <c r="Q68" s="399"/>
      <c r="R68" s="513"/>
      <c r="S68" s="513"/>
      <c r="T68" s="574"/>
      <c r="U68" s="574"/>
      <c r="V68" s="656"/>
      <c r="W68" s="656"/>
      <c r="X68" s="657"/>
      <c r="Y68" s="657"/>
      <c r="Z68" s="658"/>
      <c r="AA68" s="658"/>
      <c r="AB68" s="659"/>
      <c r="AC68" s="659"/>
      <c r="AD68" s="653"/>
      <c r="AE68" s="653"/>
      <c r="AF68" s="653"/>
      <c r="AG68" s="653"/>
      <c r="AV68" s="321"/>
    </row>
    <row r="69" spans="1:48">
      <c r="A69" s="502" t="s">
        <v>148</v>
      </c>
      <c r="B69" s="512"/>
      <c r="C69" s="756"/>
      <c r="D69" s="512"/>
      <c r="E69" s="512"/>
      <c r="F69" s="512"/>
      <c r="G69" s="512"/>
      <c r="H69" s="512"/>
      <c r="I69" s="512"/>
      <c r="J69" s="512"/>
      <c r="K69" s="512"/>
      <c r="L69" s="512"/>
      <c r="M69" s="613"/>
      <c r="N69" s="512"/>
      <c r="O69" s="512"/>
      <c r="P69" s="512"/>
      <c r="Q69" s="512"/>
      <c r="R69" s="512"/>
      <c r="S69" s="512"/>
      <c r="T69" s="512"/>
      <c r="U69" s="652"/>
      <c r="V69" s="652"/>
      <c r="W69" s="652"/>
      <c r="X69" s="652"/>
      <c r="Y69" s="652"/>
      <c r="Z69" s="652"/>
      <c r="AA69" s="652"/>
      <c r="AB69" s="652"/>
      <c r="AC69" s="652"/>
      <c r="AD69" s="654"/>
      <c r="AE69" s="654"/>
      <c r="AF69" s="654"/>
      <c r="AG69" s="654"/>
      <c r="AV69" s="321"/>
    </row>
    <row r="70" spans="1:48">
      <c r="A70" s="477" t="s">
        <v>149</v>
      </c>
      <c r="B70" s="399"/>
      <c r="C70" s="759"/>
      <c r="D70" s="399"/>
      <c r="E70" s="399"/>
      <c r="F70" s="399"/>
      <c r="G70" s="513">
        <v>350</v>
      </c>
      <c r="H70" s="481"/>
      <c r="I70" s="481"/>
      <c r="J70" s="481"/>
      <c r="K70" s="513">
        <v>2500</v>
      </c>
      <c r="L70" s="399"/>
      <c r="M70" s="620"/>
      <c r="N70" s="481"/>
      <c r="O70" s="399"/>
      <c r="P70" s="399"/>
      <c r="Q70" s="399"/>
      <c r="R70" s="513">
        <f>G70+K70</f>
        <v>2850</v>
      </c>
      <c r="S70" s="513"/>
      <c r="T70" s="574"/>
      <c r="U70" s="574"/>
      <c r="V70" s="656"/>
      <c r="W70" s="656"/>
      <c r="X70" s="657"/>
      <c r="Y70" s="657"/>
      <c r="Z70" s="658"/>
      <c r="AA70" s="658"/>
      <c r="AB70" s="659"/>
      <c r="AC70" s="659"/>
      <c r="AD70" s="653"/>
      <c r="AE70" s="653"/>
      <c r="AF70" s="653"/>
      <c r="AG70" s="653"/>
      <c r="AV70" s="321"/>
    </row>
    <row r="71" spans="1:48">
      <c r="A71" s="477" t="s">
        <v>150</v>
      </c>
      <c r="B71" s="399"/>
      <c r="C71" s="759"/>
      <c r="D71" s="399"/>
      <c r="E71" s="399"/>
      <c r="F71" s="399"/>
      <c r="G71" s="481"/>
      <c r="H71" s="481"/>
      <c r="I71" s="481"/>
      <c r="J71" s="481"/>
      <c r="K71" s="399"/>
      <c r="L71" s="399"/>
      <c r="M71" s="620"/>
      <c r="N71" s="481"/>
      <c r="O71" s="399"/>
      <c r="P71" s="399"/>
      <c r="Q71" s="399"/>
      <c r="R71" s="513"/>
      <c r="S71" s="513"/>
      <c r="T71" s="574"/>
      <c r="U71" s="574"/>
      <c r="V71" s="656"/>
      <c r="W71" s="656"/>
      <c r="X71" s="657"/>
      <c r="Y71" s="657"/>
      <c r="Z71" s="658"/>
      <c r="AA71" s="658"/>
      <c r="AB71" s="659"/>
      <c r="AC71" s="659"/>
      <c r="AD71" s="653"/>
      <c r="AE71" s="653"/>
      <c r="AF71" s="653"/>
      <c r="AG71" s="653"/>
      <c r="AV71" s="321"/>
    </row>
    <row r="72" spans="1:48">
      <c r="A72" s="477" t="s">
        <v>151</v>
      </c>
      <c r="B72" s="399"/>
      <c r="C72" s="759"/>
      <c r="D72" s="399"/>
      <c r="E72" s="399"/>
      <c r="F72" s="399"/>
      <c r="G72" s="481"/>
      <c r="H72" s="481"/>
      <c r="I72" s="481"/>
      <c r="J72" s="481"/>
      <c r="K72" s="399"/>
      <c r="L72" s="399"/>
      <c r="M72" s="620"/>
      <c r="N72" s="481"/>
      <c r="O72" s="399"/>
      <c r="P72" s="399"/>
      <c r="Q72" s="399"/>
      <c r="R72" s="513"/>
      <c r="S72" s="513"/>
      <c r="T72" s="574"/>
      <c r="U72" s="574"/>
      <c r="V72" s="656"/>
      <c r="W72" s="656"/>
      <c r="X72" s="657"/>
      <c r="Y72" s="657"/>
      <c r="Z72" s="658"/>
      <c r="AA72" s="658"/>
      <c r="AB72" s="659"/>
      <c r="AC72" s="659"/>
      <c r="AD72" s="653"/>
      <c r="AE72" s="653"/>
      <c r="AF72" s="653"/>
      <c r="AG72" s="653"/>
      <c r="AV72" s="321"/>
    </row>
    <row r="73" spans="1:48">
      <c r="A73" s="477" t="s">
        <v>151</v>
      </c>
      <c r="B73" s="510"/>
      <c r="C73" s="755"/>
      <c r="D73" s="399"/>
      <c r="E73" s="399"/>
      <c r="F73" s="399"/>
      <c r="G73" s="481"/>
      <c r="H73" s="481"/>
      <c r="I73" s="481"/>
      <c r="J73" s="481"/>
      <c r="K73" s="513">
        <v>2500</v>
      </c>
      <c r="L73" s="399"/>
      <c r="M73" s="620"/>
      <c r="N73" s="481"/>
      <c r="O73" s="399"/>
      <c r="P73" s="399"/>
      <c r="Q73" s="399"/>
      <c r="R73" s="513">
        <f>K73</f>
        <v>2500</v>
      </c>
      <c r="S73" s="513">
        <f>L73</f>
        <v>0</v>
      </c>
      <c r="T73" s="574"/>
      <c r="U73" s="574">
        <f>L73</f>
        <v>0</v>
      </c>
      <c r="V73" s="656">
        <f>B73</f>
        <v>0</v>
      </c>
      <c r="W73" s="656">
        <f>C73</f>
        <v>0</v>
      </c>
      <c r="X73" s="657"/>
      <c r="Y73" s="657"/>
      <c r="Z73" s="658"/>
      <c r="AA73" s="658"/>
      <c r="AB73" s="659"/>
      <c r="AC73" s="659"/>
      <c r="AD73" s="653"/>
      <c r="AE73" s="653"/>
      <c r="AF73" s="653"/>
      <c r="AG73" s="653"/>
      <c r="AV73" s="321"/>
    </row>
    <row r="74" spans="1:48">
      <c r="A74" s="477" t="s">
        <v>152</v>
      </c>
      <c r="B74" s="399"/>
      <c r="C74" s="759"/>
      <c r="D74" s="399"/>
      <c r="E74" s="399"/>
      <c r="F74" s="399"/>
      <c r="G74" s="481"/>
      <c r="H74" s="481"/>
      <c r="I74" s="481"/>
      <c r="J74" s="481"/>
      <c r="K74" s="399"/>
      <c r="L74" s="399"/>
      <c r="M74" s="620"/>
      <c r="N74" s="481"/>
      <c r="O74" s="399"/>
      <c r="P74" s="399"/>
      <c r="Q74" s="399"/>
      <c r="R74" s="513"/>
      <c r="S74" s="513"/>
      <c r="T74" s="574"/>
      <c r="U74" s="574"/>
      <c r="V74" s="656"/>
      <c r="W74" s="656"/>
      <c r="X74" s="657"/>
      <c r="Y74" s="657"/>
      <c r="Z74" s="658"/>
      <c r="AA74" s="658"/>
      <c r="AB74" s="659"/>
      <c r="AC74" s="659"/>
      <c r="AD74" s="653"/>
      <c r="AE74" s="653"/>
      <c r="AF74" s="653"/>
      <c r="AG74" s="653"/>
      <c r="AV74" s="321"/>
    </row>
    <row r="75" spans="1:48">
      <c r="A75" s="502" t="s">
        <v>153</v>
      </c>
      <c r="B75" s="512"/>
      <c r="C75" s="756"/>
      <c r="D75" s="512"/>
      <c r="E75" s="512"/>
      <c r="F75" s="512"/>
      <c r="G75" s="512"/>
      <c r="H75" s="512"/>
      <c r="I75" s="512"/>
      <c r="J75" s="512"/>
      <c r="K75" s="512"/>
      <c r="L75" s="512"/>
      <c r="M75" s="613"/>
      <c r="N75" s="512"/>
      <c r="O75" s="512"/>
      <c r="P75" s="512"/>
      <c r="Q75" s="512"/>
      <c r="R75" s="512"/>
      <c r="S75" s="512"/>
      <c r="T75" s="512"/>
      <c r="U75" s="652"/>
      <c r="V75" s="652"/>
      <c r="W75" s="652"/>
      <c r="X75" s="652"/>
      <c r="Y75" s="652"/>
      <c r="Z75" s="652"/>
      <c r="AA75" s="652"/>
      <c r="AB75" s="652"/>
      <c r="AC75" s="652"/>
      <c r="AD75" s="654"/>
      <c r="AE75" s="654"/>
      <c r="AF75" s="654"/>
      <c r="AG75" s="654"/>
      <c r="AV75" s="321"/>
    </row>
    <row r="76" spans="1:48">
      <c r="A76" s="477" t="s">
        <v>156</v>
      </c>
      <c r="B76" s="399"/>
      <c r="C76" s="759"/>
      <c r="D76" s="399"/>
      <c r="E76" s="399"/>
      <c r="F76" s="399"/>
      <c r="G76" s="481"/>
      <c r="H76" s="481"/>
      <c r="I76" s="481"/>
      <c r="J76" s="481"/>
      <c r="K76" s="399"/>
      <c r="L76" s="399"/>
      <c r="M76" s="620"/>
      <c r="N76" s="481"/>
      <c r="O76" s="399"/>
      <c r="P76" s="399"/>
      <c r="Q76" s="399"/>
      <c r="R76" s="513"/>
      <c r="S76" s="513"/>
      <c r="T76" s="574">
        <f>K76</f>
        <v>0</v>
      </c>
      <c r="U76" s="574"/>
      <c r="V76" s="656"/>
      <c r="W76" s="656"/>
      <c r="X76" s="657"/>
      <c r="Y76" s="657"/>
      <c r="Z76" s="658"/>
      <c r="AA76" s="658"/>
      <c r="AB76" s="659"/>
      <c r="AC76" s="659"/>
      <c r="AD76" s="653"/>
      <c r="AE76" s="653"/>
      <c r="AF76" s="653"/>
      <c r="AG76" s="653"/>
      <c r="AV76" s="321"/>
    </row>
    <row r="77" spans="1:48">
      <c r="A77" s="477" t="s">
        <v>156</v>
      </c>
      <c r="B77" s="399"/>
      <c r="C77" s="759"/>
      <c r="D77" s="399"/>
      <c r="E77" s="399"/>
      <c r="F77" s="399"/>
      <c r="G77" s="481"/>
      <c r="H77" s="481"/>
      <c r="I77" s="481"/>
      <c r="J77" s="481"/>
      <c r="K77" s="399"/>
      <c r="L77" s="399"/>
      <c r="M77" s="620"/>
      <c r="N77" s="481"/>
      <c r="O77" s="399"/>
      <c r="P77" s="399"/>
      <c r="Q77" s="399"/>
      <c r="R77" s="513"/>
      <c r="S77" s="513"/>
      <c r="T77" s="574"/>
      <c r="U77" s="574"/>
      <c r="V77" s="656"/>
      <c r="W77" s="656"/>
      <c r="X77" s="657"/>
      <c r="Y77" s="657"/>
      <c r="Z77" s="658"/>
      <c r="AA77" s="658"/>
      <c r="AB77" s="659"/>
      <c r="AC77" s="659"/>
      <c r="AD77" s="653"/>
      <c r="AE77" s="653"/>
      <c r="AF77" s="653"/>
      <c r="AG77" s="653"/>
      <c r="AV77" s="321"/>
    </row>
    <row r="78" spans="1:48">
      <c r="A78" s="477" t="s">
        <v>129</v>
      </c>
      <c r="B78" s="399"/>
      <c r="C78" s="759"/>
      <c r="D78" s="399"/>
      <c r="E78" s="399"/>
      <c r="F78" s="399"/>
      <c r="G78" s="481"/>
      <c r="H78" s="481"/>
      <c r="I78" s="481"/>
      <c r="J78" s="481"/>
      <c r="K78" s="596"/>
      <c r="L78" s="596"/>
      <c r="M78" s="620"/>
      <c r="N78" s="481"/>
      <c r="O78" s="399"/>
      <c r="P78" s="399"/>
      <c r="Q78" s="399"/>
      <c r="R78" s="513"/>
      <c r="S78" s="513"/>
      <c r="T78" s="574"/>
      <c r="U78" s="574"/>
      <c r="V78" s="656"/>
      <c r="W78" s="656"/>
      <c r="X78" s="657"/>
      <c r="Y78" s="657"/>
      <c r="Z78" s="658"/>
      <c r="AA78" s="658"/>
      <c r="AB78" s="659"/>
      <c r="AC78" s="659"/>
      <c r="AD78" s="653"/>
      <c r="AE78" s="653"/>
      <c r="AF78" s="653"/>
      <c r="AG78" s="653"/>
      <c r="AV78" s="321"/>
    </row>
    <row r="79" spans="1:48">
      <c r="A79" s="477" t="s">
        <v>157</v>
      </c>
      <c r="B79" s="399"/>
      <c r="C79" s="759"/>
      <c r="D79" s="399"/>
      <c r="E79" s="399"/>
      <c r="F79" s="399"/>
      <c r="G79" s="481"/>
      <c r="H79" s="481"/>
      <c r="I79" s="481"/>
      <c r="J79" s="481"/>
      <c r="K79" s="399"/>
      <c r="L79" s="399"/>
      <c r="M79" s="620"/>
      <c r="N79" s="481"/>
      <c r="O79" s="399"/>
      <c r="P79" s="399"/>
      <c r="Q79" s="399"/>
      <c r="R79" s="513"/>
      <c r="S79" s="513"/>
      <c r="T79" s="574"/>
      <c r="U79" s="574"/>
      <c r="V79" s="656"/>
      <c r="W79" s="656"/>
      <c r="X79" s="657"/>
      <c r="Y79" s="657"/>
      <c r="Z79" s="658"/>
      <c r="AA79" s="658"/>
      <c r="AB79" s="659"/>
      <c r="AC79" s="659"/>
      <c r="AD79" s="653"/>
      <c r="AE79" s="653"/>
      <c r="AF79" s="653"/>
      <c r="AG79" s="653"/>
      <c r="AV79" s="321"/>
    </row>
    <row r="80" spans="1:48">
      <c r="A80" s="502" t="s">
        <v>160</v>
      </c>
      <c r="B80" s="512"/>
      <c r="C80" s="756"/>
      <c r="D80" s="512"/>
      <c r="E80" s="512"/>
      <c r="F80" s="512"/>
      <c r="G80" s="512"/>
      <c r="H80" s="512"/>
      <c r="I80" s="512"/>
      <c r="J80" s="512"/>
      <c r="K80" s="512"/>
      <c r="L80" s="512"/>
      <c r="M80" s="613"/>
      <c r="N80" s="512"/>
      <c r="O80" s="512"/>
      <c r="P80" s="512"/>
      <c r="Q80" s="512"/>
      <c r="R80" s="512"/>
      <c r="S80" s="512"/>
      <c r="T80" s="512"/>
      <c r="U80" s="652"/>
      <c r="V80" s="652"/>
      <c r="W80" s="652"/>
      <c r="X80" s="652"/>
      <c r="Y80" s="652"/>
      <c r="Z80" s="652"/>
      <c r="AA80" s="652"/>
      <c r="AB80" s="652"/>
      <c r="AC80" s="652"/>
      <c r="AD80" s="654"/>
      <c r="AE80" s="654"/>
      <c r="AF80" s="654"/>
      <c r="AG80" s="654"/>
      <c r="AV80" s="321"/>
    </row>
    <row r="81" spans="1:48">
      <c r="A81" s="477" t="s">
        <v>161</v>
      </c>
      <c r="B81" s="399"/>
      <c r="C81" s="759"/>
      <c r="D81" s="399"/>
      <c r="E81" s="399"/>
      <c r="F81" s="399"/>
      <c r="G81" s="481"/>
      <c r="H81" s="481"/>
      <c r="I81" s="481"/>
      <c r="J81" s="481"/>
      <c r="K81" s="399"/>
      <c r="L81" s="399"/>
      <c r="M81" s="620"/>
      <c r="N81" s="481"/>
      <c r="O81" s="399"/>
      <c r="P81" s="399"/>
      <c r="Q81" s="399"/>
      <c r="R81" s="513"/>
      <c r="S81" s="513"/>
      <c r="T81" s="574"/>
      <c r="U81" s="574"/>
      <c r="V81" s="656"/>
      <c r="W81" s="656"/>
      <c r="X81" s="657"/>
      <c r="Y81" s="657"/>
      <c r="Z81" s="658"/>
      <c r="AA81" s="658"/>
      <c r="AB81" s="659"/>
      <c r="AC81" s="659"/>
      <c r="AD81" s="653"/>
      <c r="AE81" s="653"/>
      <c r="AF81" s="653"/>
      <c r="AG81" s="653"/>
      <c r="AV81" s="321"/>
    </row>
    <row r="82" spans="1:48">
      <c r="A82" s="477" t="s">
        <v>220</v>
      </c>
      <c r="B82" s="399"/>
      <c r="C82" s="759"/>
      <c r="D82" s="399"/>
      <c r="E82" s="399"/>
      <c r="F82" s="399"/>
      <c r="G82" s="481"/>
      <c r="H82" s="481"/>
      <c r="I82" s="481"/>
      <c r="J82" s="481"/>
      <c r="K82" s="399"/>
      <c r="L82" s="399"/>
      <c r="M82" s="574">
        <v>1000</v>
      </c>
      <c r="N82" s="481">
        <f>-385-130-450</f>
        <v>-965</v>
      </c>
      <c r="O82" s="784"/>
      <c r="P82" s="399"/>
      <c r="Q82" s="399"/>
      <c r="R82" s="513"/>
      <c r="S82" s="513"/>
      <c r="T82" s="574">
        <f>M82</f>
        <v>1000</v>
      </c>
      <c r="U82" s="574">
        <f>N82</f>
        <v>-965</v>
      </c>
      <c r="V82" s="656"/>
      <c r="W82" s="656"/>
      <c r="X82" s="657"/>
      <c r="Y82" s="657"/>
      <c r="Z82" s="658"/>
      <c r="AA82" s="658"/>
      <c r="AB82" s="659"/>
      <c r="AC82" s="659"/>
      <c r="AD82" s="653"/>
      <c r="AE82" s="653"/>
      <c r="AF82" s="653"/>
      <c r="AG82" s="653"/>
      <c r="AV82" s="321"/>
    </row>
    <row r="83" spans="1:48">
      <c r="A83" s="477" t="s">
        <v>163</v>
      </c>
      <c r="B83" s="399"/>
      <c r="C83" s="759"/>
      <c r="D83" s="399"/>
      <c r="E83" s="399"/>
      <c r="F83" s="399"/>
      <c r="G83" s="481"/>
      <c r="H83" s="481"/>
      <c r="I83" s="481"/>
      <c r="J83" s="481"/>
      <c r="K83" s="399"/>
      <c r="L83" s="399"/>
      <c r="M83" s="620"/>
      <c r="N83" s="481"/>
      <c r="O83" s="399"/>
      <c r="P83" s="399"/>
      <c r="Q83" s="399"/>
      <c r="R83" s="513"/>
      <c r="S83" s="513"/>
      <c r="T83" s="574"/>
      <c r="U83" s="574"/>
      <c r="V83" s="656"/>
      <c r="W83" s="656"/>
      <c r="X83" s="657"/>
      <c r="Y83" s="657"/>
      <c r="Z83" s="658"/>
      <c r="AA83" s="658"/>
      <c r="AB83" s="659"/>
      <c r="AC83" s="659"/>
      <c r="AD83" s="653"/>
      <c r="AE83" s="653"/>
      <c r="AF83" s="653"/>
      <c r="AG83" s="653"/>
      <c r="AV83" s="321"/>
    </row>
    <row r="84" spans="1:48">
      <c r="A84" s="477" t="s">
        <v>164</v>
      </c>
      <c r="B84" s="399"/>
      <c r="C84" s="759"/>
      <c r="D84" s="399"/>
      <c r="E84" s="399"/>
      <c r="F84" s="399"/>
      <c r="G84" s="481"/>
      <c r="H84" s="481"/>
      <c r="I84" s="481"/>
      <c r="J84" s="481"/>
      <c r="K84" s="399"/>
      <c r="L84" s="399"/>
      <c r="M84" s="620"/>
      <c r="N84" s="481"/>
      <c r="O84" s="513"/>
      <c r="P84" s="514"/>
      <c r="Q84" s="514"/>
      <c r="R84" s="513"/>
      <c r="S84" s="513"/>
      <c r="T84" s="574"/>
      <c r="U84" s="574"/>
      <c r="V84" s="656"/>
      <c r="W84" s="656"/>
      <c r="X84" s="657"/>
      <c r="Y84" s="657"/>
      <c r="Z84" s="658"/>
      <c r="AA84" s="658"/>
      <c r="AB84" s="659"/>
      <c r="AC84" s="659"/>
      <c r="AD84" s="653"/>
      <c r="AE84" s="653"/>
      <c r="AF84" s="653"/>
      <c r="AG84" s="653"/>
      <c r="AV84" s="321"/>
    </row>
    <row r="85" spans="1:48">
      <c r="A85" s="477" t="s">
        <v>199</v>
      </c>
      <c r="B85" s="399"/>
      <c r="C85" s="759"/>
      <c r="D85" s="399"/>
      <c r="E85" s="399"/>
      <c r="F85" s="399"/>
      <c r="G85" s="513">
        <v>125</v>
      </c>
      <c r="H85" s="481"/>
      <c r="I85" s="481"/>
      <c r="J85" s="481"/>
      <c r="K85" s="697"/>
      <c r="L85" s="697"/>
      <c r="M85" s="620"/>
      <c r="N85" s="481"/>
      <c r="O85" s="505"/>
      <c r="P85" s="514"/>
      <c r="Q85" s="514"/>
      <c r="R85" s="513">
        <f>G85</f>
        <v>125</v>
      </c>
      <c r="S85" s="513">
        <f>H85</f>
        <v>0</v>
      </c>
      <c r="T85" s="574"/>
      <c r="U85" s="574"/>
      <c r="V85" s="656"/>
      <c r="W85" s="656"/>
      <c r="X85" s="657"/>
      <c r="Y85" s="657"/>
      <c r="Z85" s="658"/>
      <c r="AA85" s="658"/>
      <c r="AB85" s="659"/>
      <c r="AC85" s="659"/>
      <c r="AD85" s="653"/>
      <c r="AE85" s="653"/>
      <c r="AF85" s="653"/>
      <c r="AG85" s="653"/>
      <c r="AV85" s="321"/>
    </row>
    <row r="86" spans="1:48">
      <c r="A86" s="477" t="s">
        <v>165</v>
      </c>
      <c r="B86" s="399"/>
      <c r="C86" s="759"/>
      <c r="D86" s="399"/>
      <c r="E86" s="399"/>
      <c r="F86" s="399"/>
      <c r="G86" s="481"/>
      <c r="H86" s="481"/>
      <c r="I86" s="481"/>
      <c r="J86" s="481"/>
      <c r="K86" s="596"/>
      <c r="L86" s="596"/>
      <c r="M86" s="620"/>
      <c r="N86" s="481"/>
      <c r="O86" s="399"/>
      <c r="P86" s="399"/>
      <c r="Q86" s="399"/>
      <c r="R86" s="513"/>
      <c r="S86" s="513"/>
      <c r="T86" s="574"/>
      <c r="U86" s="574"/>
      <c r="V86" s="656"/>
      <c r="W86" s="656"/>
      <c r="X86" s="657"/>
      <c r="Y86" s="657"/>
      <c r="Z86" s="658"/>
      <c r="AA86" s="658"/>
      <c r="AB86" s="659"/>
      <c r="AC86" s="659"/>
      <c r="AD86" s="558"/>
      <c r="AE86" s="558"/>
      <c r="AF86" s="653"/>
      <c r="AG86" s="653"/>
      <c r="AV86" s="321"/>
    </row>
    <row r="87" spans="1:48">
      <c r="A87" s="502" t="str">
        <f>'AVP  Health'!A104</f>
        <v xml:space="preserve">Automobile Mileage  </v>
      </c>
      <c r="B87" s="512"/>
      <c r="C87" s="756"/>
      <c r="D87" s="512"/>
      <c r="E87" s="512"/>
      <c r="F87" s="512"/>
      <c r="G87" s="512"/>
      <c r="H87" s="512"/>
      <c r="I87" s="512"/>
      <c r="J87" s="512"/>
      <c r="K87" s="512"/>
      <c r="L87" s="512"/>
      <c r="M87" s="613"/>
      <c r="N87" s="512"/>
      <c r="O87" s="512"/>
      <c r="P87" s="512"/>
      <c r="Q87" s="512"/>
      <c r="R87" s="512"/>
      <c r="S87" s="512"/>
      <c r="T87" s="512"/>
      <c r="U87" s="652"/>
      <c r="V87" s="652"/>
      <c r="W87" s="652"/>
      <c r="X87" s="652"/>
      <c r="Y87" s="652"/>
      <c r="Z87" s="652"/>
      <c r="AA87" s="652"/>
      <c r="AB87" s="652"/>
      <c r="AC87" s="652"/>
      <c r="AD87" s="654"/>
      <c r="AE87" s="654"/>
      <c r="AF87" s="654"/>
      <c r="AG87" s="654"/>
      <c r="AV87" s="321"/>
    </row>
    <row r="88" spans="1:48">
      <c r="A88" s="491" t="s">
        <v>169</v>
      </c>
      <c r="B88" s="596"/>
      <c r="C88" s="757"/>
      <c r="D88" s="596"/>
      <c r="E88" s="596"/>
      <c r="F88" s="596"/>
      <c r="G88" s="596"/>
      <c r="H88" s="596"/>
      <c r="I88" s="596"/>
      <c r="J88" s="596"/>
      <c r="K88" s="399"/>
      <c r="L88" s="399"/>
      <c r="M88" s="619"/>
      <c r="N88" s="596"/>
      <c r="O88" s="596"/>
      <c r="P88" s="596"/>
      <c r="Q88" s="596"/>
      <c r="R88" s="513"/>
      <c r="S88" s="513"/>
      <c r="T88" s="574"/>
      <c r="U88" s="574"/>
      <c r="V88" s="656"/>
      <c r="W88" s="656"/>
      <c r="X88" s="657"/>
      <c r="Y88" s="657"/>
      <c r="Z88" s="658"/>
      <c r="AA88" s="658"/>
      <c r="AB88" s="659"/>
      <c r="AC88" s="659"/>
      <c r="AD88" s="558"/>
      <c r="AE88" s="558"/>
      <c r="AF88" s="653"/>
      <c r="AG88" s="653"/>
      <c r="AV88" s="321"/>
    </row>
    <row r="89" spans="1:48">
      <c r="A89" s="491" t="s">
        <v>169</v>
      </c>
      <c r="B89" s="399"/>
      <c r="C89" s="759"/>
      <c r="D89" s="399"/>
      <c r="E89" s="399"/>
      <c r="F89" s="399"/>
      <c r="G89" s="481"/>
      <c r="H89" s="481"/>
      <c r="I89" s="481"/>
      <c r="J89" s="481"/>
      <c r="K89" s="399"/>
      <c r="L89" s="399"/>
      <c r="M89" s="620"/>
      <c r="N89" s="481"/>
      <c r="O89" s="399"/>
      <c r="P89" s="399"/>
      <c r="Q89" s="399"/>
      <c r="R89" s="513"/>
      <c r="S89" s="513"/>
      <c r="T89" s="574">
        <f>G90</f>
        <v>0</v>
      </c>
      <c r="U89" s="574"/>
      <c r="V89" s="656"/>
      <c r="W89" s="656"/>
      <c r="X89" s="657"/>
      <c r="Y89" s="657"/>
      <c r="Z89" s="658"/>
      <c r="AA89" s="658"/>
      <c r="AB89" s="659"/>
      <c r="AC89" s="659"/>
      <c r="AD89" s="558"/>
      <c r="AE89" s="558"/>
      <c r="AF89" s="653"/>
      <c r="AG89" s="653"/>
      <c r="AV89" s="321"/>
    </row>
    <row r="90" spans="1:48">
      <c r="A90" s="477" t="s">
        <v>171</v>
      </c>
      <c r="B90" s="399"/>
      <c r="C90" s="759"/>
      <c r="D90" s="399"/>
      <c r="E90" s="399"/>
      <c r="F90" s="399"/>
      <c r="G90" s="574"/>
      <c r="H90" s="481"/>
      <c r="I90" s="481"/>
      <c r="J90" s="481"/>
      <c r="K90" s="574">
        <v>1000</v>
      </c>
      <c r="L90" s="481"/>
      <c r="M90" s="514"/>
      <c r="N90" s="399"/>
      <c r="O90" s="662"/>
      <c r="P90" s="662"/>
      <c r="Q90" s="662"/>
      <c r="S90" s="662"/>
      <c r="T90" s="662">
        <f>K90</f>
        <v>1000</v>
      </c>
      <c r="U90" s="662"/>
      <c r="V90" s="662"/>
      <c r="W90" s="662"/>
      <c r="X90" s="662"/>
      <c r="Y90" s="662"/>
      <c r="Z90" s="662"/>
      <c r="AA90" s="662"/>
      <c r="AB90" s="558"/>
      <c r="AC90" s="558"/>
      <c r="AD90" s="653"/>
      <c r="AE90" s="653"/>
      <c r="AU90"/>
    </row>
    <row r="91" spans="1:48">
      <c r="A91" s="468" t="s">
        <v>28</v>
      </c>
      <c r="B91" s="399">
        <f>SUM(B49:B90)</f>
        <v>5467.45</v>
      </c>
      <c r="C91" s="399">
        <f t="shared" ref="C91:AC91" si="5">SUM(C49:C90)</f>
        <v>-190.25</v>
      </c>
      <c r="D91" s="399">
        <f t="shared" si="5"/>
        <v>0</v>
      </c>
      <c r="E91" s="399">
        <f t="shared" si="5"/>
        <v>0</v>
      </c>
      <c r="F91" s="399">
        <f t="shared" si="5"/>
        <v>0</v>
      </c>
      <c r="G91" s="399">
        <f t="shared" si="5"/>
        <v>3875</v>
      </c>
      <c r="H91" s="399">
        <f t="shared" si="5"/>
        <v>0</v>
      </c>
      <c r="I91" s="399">
        <f t="shared" si="5"/>
        <v>0</v>
      </c>
      <c r="J91" s="399">
        <f t="shared" si="5"/>
        <v>0</v>
      </c>
      <c r="K91" s="399">
        <f t="shared" si="5"/>
        <v>9428.61</v>
      </c>
      <c r="L91" s="399">
        <f t="shared" si="5"/>
        <v>-1781.75</v>
      </c>
      <c r="M91" s="399">
        <f t="shared" si="5"/>
        <v>2950</v>
      </c>
      <c r="N91" s="399">
        <f t="shared" si="5"/>
        <v>-1451.72</v>
      </c>
      <c r="O91" s="399">
        <f t="shared" si="5"/>
        <v>2138.9</v>
      </c>
      <c r="P91" s="399">
        <f t="shared" si="5"/>
        <v>-1309.32</v>
      </c>
      <c r="Q91" s="399">
        <f t="shared" si="5"/>
        <v>0</v>
      </c>
      <c r="R91" s="399">
        <f t="shared" si="5"/>
        <v>7280</v>
      </c>
      <c r="S91" s="399">
        <f t="shared" si="5"/>
        <v>-767.8</v>
      </c>
      <c r="T91" s="399">
        <f>SUM(T49:T90)</f>
        <v>12850</v>
      </c>
      <c r="U91" s="399">
        <f t="shared" si="5"/>
        <v>-1451.72</v>
      </c>
      <c r="V91" s="399">
        <f t="shared" si="5"/>
        <v>3528.61</v>
      </c>
      <c r="W91" s="399">
        <f t="shared" si="5"/>
        <v>-2312.17</v>
      </c>
      <c r="X91" s="399">
        <f t="shared" si="5"/>
        <v>0</v>
      </c>
      <c r="Y91" s="399">
        <f t="shared" si="5"/>
        <v>0</v>
      </c>
      <c r="Z91" s="399">
        <f t="shared" si="5"/>
        <v>0</v>
      </c>
      <c r="AA91" s="399">
        <f t="shared" si="5"/>
        <v>0</v>
      </c>
      <c r="AB91" s="399">
        <f t="shared" si="5"/>
        <v>201.35</v>
      </c>
      <c r="AC91" s="399">
        <f t="shared" si="5"/>
        <v>-201.35</v>
      </c>
      <c r="AD91" s="653"/>
      <c r="AE91" s="653"/>
      <c r="AU91"/>
    </row>
    <row r="92" spans="1:48">
      <c r="A92" s="446"/>
      <c r="B92" s="638"/>
      <c r="C92" s="763"/>
      <c r="D92" s="638"/>
      <c r="E92" s="638"/>
      <c r="F92" s="638"/>
      <c r="G92" s="638"/>
      <c r="H92" s="638"/>
      <c r="I92" s="638"/>
      <c r="J92" s="638"/>
      <c r="K92" s="638"/>
      <c r="L92" s="638"/>
      <c r="M92" s="661"/>
      <c r="N92" s="638"/>
      <c r="O92" s="638"/>
      <c r="P92" s="638"/>
      <c r="Q92" s="638"/>
      <c r="R92" s="638"/>
      <c r="S92" s="638"/>
      <c r="T92" s="638"/>
      <c r="U92" s="638"/>
      <c r="V92" s="638"/>
      <c r="W92" s="638"/>
      <c r="X92" s="660"/>
      <c r="Y92" s="660"/>
      <c r="Z92" s="660">
        <f>SUM(X49:X90)</f>
        <v>0</v>
      </c>
      <c r="AA92" s="660">
        <f>SUM(Y49:Y90)</f>
        <v>0</v>
      </c>
      <c r="AB92" s="638"/>
      <c r="AC92" s="638"/>
      <c r="AD92" s="638"/>
      <c r="AE92" s="638"/>
      <c r="AF92" s="653"/>
      <c r="AG92" s="653"/>
      <c r="AV92" s="321"/>
    </row>
    <row r="93" spans="1:48" s="698" customFormat="1" ht="15.75">
      <c r="A93" s="698" t="s">
        <v>27</v>
      </c>
      <c r="C93" s="764"/>
      <c r="K93" s="801"/>
      <c r="R93" s="513">
        <f t="shared" ref="R93:AC93" si="6">P43+R91</f>
        <v>18680</v>
      </c>
      <c r="S93" s="513">
        <f t="shared" si="6"/>
        <v>-3166.8</v>
      </c>
      <c r="T93" s="513">
        <f t="shared" si="6"/>
        <v>21966</v>
      </c>
      <c r="U93" s="513">
        <f t="shared" si="6"/>
        <v>-1451.72</v>
      </c>
      <c r="V93" s="513">
        <f t="shared" si="6"/>
        <v>7526.3099999999995</v>
      </c>
      <c r="W93" s="513">
        <f t="shared" si="6"/>
        <v>-2961.1800000000003</v>
      </c>
      <c r="X93" s="513">
        <f t="shared" si="6"/>
        <v>0</v>
      </c>
      <c r="Y93" s="513">
        <f t="shared" si="6"/>
        <v>19939.71</v>
      </c>
      <c r="Z93" s="513">
        <f t="shared" si="6"/>
        <v>0</v>
      </c>
      <c r="AA93" s="513">
        <f t="shared" si="6"/>
        <v>0</v>
      </c>
      <c r="AB93" s="513">
        <f t="shared" si="6"/>
        <v>201.35</v>
      </c>
      <c r="AC93" s="513">
        <f t="shared" si="6"/>
        <v>-201.35</v>
      </c>
    </row>
    <row r="94" spans="1:48">
      <c r="B94" s="351"/>
      <c r="C94" s="761"/>
      <c r="D94" s="351"/>
      <c r="E94" s="351"/>
      <c r="F94" s="351"/>
      <c r="G94" s="351"/>
      <c r="H94" s="351"/>
      <c r="I94" s="351"/>
      <c r="J94" s="351"/>
      <c r="K94" s="351"/>
      <c r="L94" s="351"/>
      <c r="M94" s="351"/>
      <c r="N94" s="351"/>
      <c r="O94" s="353"/>
      <c r="P94" s="353"/>
      <c r="Q94" s="353"/>
      <c r="T94" s="353"/>
      <c r="U94" s="353"/>
      <c r="V94" s="353"/>
      <c r="W94" s="353"/>
      <c r="X94" s="351"/>
      <c r="Y94" s="351"/>
      <c r="Z94" s="351"/>
      <c r="AA94" s="351"/>
      <c r="AB94" s="1"/>
      <c r="AC94" s="1"/>
      <c r="AD94"/>
      <c r="AE94"/>
      <c r="AV94" s="321"/>
    </row>
    <row r="95" spans="1:48">
      <c r="B95" s="351"/>
      <c r="C95" s="761"/>
      <c r="D95" s="351"/>
      <c r="E95" s="351"/>
      <c r="F95" s="351"/>
      <c r="G95" s="351"/>
      <c r="H95" s="351"/>
      <c r="I95" s="351"/>
      <c r="J95" s="351"/>
      <c r="K95" s="351"/>
      <c r="L95" s="351"/>
      <c r="M95" s="351"/>
      <c r="N95" s="351"/>
      <c r="O95" s="351"/>
      <c r="P95" s="351"/>
      <c r="Q95" s="351"/>
      <c r="T95" s="351"/>
      <c r="U95" s="351"/>
      <c r="V95" s="351"/>
      <c r="W95" s="351"/>
      <c r="X95" s="351"/>
      <c r="Y95" s="351"/>
      <c r="Z95" s="351"/>
      <c r="AA95" s="351"/>
      <c r="AB95" s="1"/>
      <c r="AC95" s="15"/>
      <c r="AD95"/>
      <c r="AE95"/>
      <c r="AV95" s="321"/>
    </row>
    <row r="96" spans="1:48">
      <c r="B96" s="351"/>
      <c r="C96" s="761"/>
      <c r="D96" s="351"/>
      <c r="E96" s="351"/>
      <c r="F96" s="351"/>
      <c r="G96" s="351"/>
      <c r="H96" s="351"/>
      <c r="I96" s="351"/>
      <c r="J96" s="351"/>
      <c r="K96" s="351"/>
      <c r="L96" s="351"/>
      <c r="M96" s="351"/>
      <c r="N96" s="351"/>
      <c r="O96" s="351"/>
      <c r="P96" s="351"/>
      <c r="Q96" s="351"/>
      <c r="T96" s="351"/>
      <c r="U96" s="351"/>
      <c r="V96" s="351"/>
      <c r="W96" s="351"/>
      <c r="X96" s="351"/>
      <c r="Y96" s="351"/>
      <c r="Z96" s="471"/>
      <c r="AA96" s="471"/>
      <c r="AB96" s="1"/>
      <c r="AC96" s="1"/>
      <c r="AD96"/>
      <c r="AE96"/>
      <c r="AV96" s="321"/>
    </row>
    <row r="97" spans="14:48">
      <c r="AV97" s="321"/>
    </row>
    <row r="98" spans="14:48">
      <c r="AV98" s="321"/>
    </row>
    <row r="99" spans="14:48">
      <c r="AU99"/>
    </row>
    <row r="100" spans="14:48">
      <c r="AU100"/>
    </row>
    <row r="101" spans="14:48">
      <c r="AU101"/>
    </row>
    <row r="102" spans="14:48">
      <c r="N102" s="353">
        <f>T93+V93+X93+Z93+AB93+R93</f>
        <v>48373.659999999996</v>
      </c>
      <c r="O102" s="353">
        <f>U93+W93+Y93+AA93+AC93+S93</f>
        <v>12158.659999999996</v>
      </c>
      <c r="AU102"/>
    </row>
    <row r="103" spans="14:48">
      <c r="N103" s="351">
        <f>B91+G91+K91+M91+O91+N43+L43+J43+H43+Communications!H42+F43+D43+B43</f>
        <v>48373.66</v>
      </c>
      <c r="O103" s="351">
        <f>P91+N91+L91+J91+I91+H91+F91+E91+D91+C91+C43+E43+G43+Communications!I42+I43+M43+O43</f>
        <v>12158.659999999998</v>
      </c>
      <c r="AU103"/>
    </row>
    <row r="104" spans="14:48">
      <c r="N104" s="517">
        <f>N102-N103</f>
        <v>0</v>
      </c>
      <c r="O104" s="517">
        <f>O102-O103</f>
        <v>0</v>
      </c>
      <c r="AU104"/>
    </row>
  </sheetData>
  <mergeCells count="25">
    <mergeCell ref="AB47:AC47"/>
    <mergeCell ref="Z1:AA1"/>
    <mergeCell ref="X1:Y1"/>
    <mergeCell ref="Z47:AA47"/>
    <mergeCell ref="AB1:AC1"/>
    <mergeCell ref="T47:U47"/>
    <mergeCell ref="V1:W1"/>
    <mergeCell ref="X47:Y47"/>
    <mergeCell ref="P1:Q1"/>
    <mergeCell ref="R1:S1"/>
    <mergeCell ref="R47:S47"/>
    <mergeCell ref="V47:W47"/>
    <mergeCell ref="T1:U1"/>
    <mergeCell ref="O47:P47"/>
    <mergeCell ref="K47:L47"/>
    <mergeCell ref="N1:O1"/>
    <mergeCell ref="B47:F47"/>
    <mergeCell ref="G47:J47"/>
    <mergeCell ref="M47:N47"/>
    <mergeCell ref="B1:C1"/>
    <mergeCell ref="L1:M1"/>
    <mergeCell ref="J1:K1"/>
    <mergeCell ref="F1:G1"/>
    <mergeCell ref="H1:I1"/>
    <mergeCell ref="D1:E1"/>
  </mergeCells>
  <printOptions gridLines="1"/>
  <pageMargins left="0" right="0" top="0.75" bottom="0.75" header="0.3" footer="0.3"/>
  <pageSetup paperSize="17" scale="54" fitToHeight="0" orientation="landscape" r:id="rId1"/>
  <headerFooter>
    <oddHeader xml:space="preserve">&amp;L&amp;8 4/2/19&amp;CCOM Alumni Projections 
20-21
</oddHeader>
    <oddFooter>&amp;L&amp;A&amp;C&amp;BUSF Health Confidential&amp;B&amp;RPage &amp;P</oddFooter>
  </headerFooter>
  <rowBreaks count="1" manualBreakCount="1">
    <brk id="44" max="16383" man="1"/>
  </rowBreak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C43"/>
  <sheetViews>
    <sheetView view="pageLayout" zoomScaleNormal="80" workbookViewId="0">
      <selection sqref="A1:XFD1048576"/>
    </sheetView>
  </sheetViews>
  <sheetFormatPr defaultColWidth="9.7109375" defaultRowHeight="12"/>
  <cols>
    <col min="1" max="1" width="48" style="329" customWidth="1"/>
    <col min="2" max="2" width="10.5703125" style="3" bestFit="1" customWidth="1"/>
    <col min="3" max="3" width="16" style="3" customWidth="1"/>
    <col min="4" max="4" width="11.28515625" style="3" bestFit="1" customWidth="1"/>
    <col min="5" max="5" width="11.28515625" style="3" customWidth="1"/>
    <col min="6" max="7" width="10.7109375" style="3" customWidth="1"/>
    <col min="8" max="8" width="10.28515625" style="3" bestFit="1" customWidth="1"/>
    <col min="9" max="9" width="11.28515625" style="3" bestFit="1" customWidth="1"/>
    <col min="10" max="15" width="10.7109375" style="3" customWidth="1"/>
    <col min="16" max="16" width="11.28515625" style="3" bestFit="1" customWidth="1"/>
    <col min="17" max="18" width="10.7109375" style="3" customWidth="1"/>
    <col min="19" max="19" width="9.5703125" style="3" bestFit="1" customWidth="1"/>
    <col min="20" max="20" width="10.5703125" style="329" bestFit="1" customWidth="1"/>
    <col min="21" max="21" width="10.7109375" style="329" customWidth="1"/>
    <col min="22" max="22" width="10.5703125" style="329" hidden="1" customWidth="1"/>
    <col min="23" max="23" width="10.7109375" style="329" hidden="1" customWidth="1"/>
    <col min="24" max="24" width="11.28515625" style="329" bestFit="1" customWidth="1"/>
    <col min="25" max="25" width="10.7109375" style="1" customWidth="1"/>
    <col min="26" max="26" width="16.140625" style="1" customWidth="1"/>
    <col min="27" max="27" width="14.28515625" style="1" customWidth="1"/>
    <col min="28" max="28" width="12.5703125" style="329" customWidth="1"/>
    <col min="29" max="29" width="23.42578125" style="329" customWidth="1"/>
    <col min="30" max="16384" width="9.7109375" style="329"/>
  </cols>
  <sheetData>
    <row r="1" spans="1:29" s="324" customFormat="1" ht="84" customHeight="1">
      <c r="A1" s="664"/>
      <c r="B1" s="891" t="s">
        <v>124</v>
      </c>
      <c r="C1" s="891"/>
      <c r="D1" s="926" t="s">
        <v>225</v>
      </c>
      <c r="E1" s="955"/>
      <c r="F1" s="955"/>
      <c r="G1" s="955"/>
      <c r="H1" s="927"/>
      <c r="I1" s="891" t="s">
        <v>226</v>
      </c>
      <c r="J1" s="891"/>
      <c r="K1" s="891"/>
      <c r="L1" s="891"/>
      <c r="M1" s="891"/>
      <c r="N1" s="891"/>
      <c r="O1" s="891"/>
      <c r="P1" s="891" t="s">
        <v>66</v>
      </c>
      <c r="Q1" s="891"/>
      <c r="R1" s="891"/>
      <c r="S1" s="891"/>
      <c r="T1" s="891" t="s">
        <v>106</v>
      </c>
      <c r="U1" s="891"/>
      <c r="V1" s="926" t="s">
        <v>227</v>
      </c>
      <c r="W1" s="927"/>
      <c r="X1" s="914" t="s">
        <v>254</v>
      </c>
      <c r="Y1" s="915"/>
      <c r="Z1" s="916" t="s">
        <v>255</v>
      </c>
      <c r="AA1" s="916"/>
      <c r="AB1" s="964" t="s">
        <v>26</v>
      </c>
      <c r="AC1" s="964"/>
    </row>
    <row r="2" spans="1:29" s="584" customFormat="1" ht="39.6" customHeight="1">
      <c r="A2" s="664"/>
      <c r="B2" s="663" t="s">
        <v>4</v>
      </c>
      <c r="C2" s="663" t="s">
        <v>94</v>
      </c>
      <c r="D2" s="663" t="s">
        <v>4</v>
      </c>
      <c r="E2" s="663" t="s">
        <v>274</v>
      </c>
      <c r="F2" s="663" t="s">
        <v>346</v>
      </c>
      <c r="G2" s="800" t="s">
        <v>359</v>
      </c>
      <c r="H2" s="663" t="s">
        <v>345</v>
      </c>
      <c r="I2" s="663" t="s">
        <v>4</v>
      </c>
      <c r="J2" s="663" t="s">
        <v>347</v>
      </c>
      <c r="K2" s="663" t="s">
        <v>228</v>
      </c>
      <c r="L2" s="663" t="s">
        <v>229</v>
      </c>
      <c r="M2" s="663" t="s">
        <v>230</v>
      </c>
      <c r="N2" s="663" t="s">
        <v>231</v>
      </c>
      <c r="O2" s="663" t="s">
        <v>94</v>
      </c>
      <c r="P2" s="663" t="s">
        <v>4</v>
      </c>
      <c r="Q2" s="663" t="s">
        <v>232</v>
      </c>
      <c r="R2" s="663" t="s">
        <v>125</v>
      </c>
      <c r="S2" s="663" t="s">
        <v>233</v>
      </c>
      <c r="T2" s="663" t="s">
        <v>4</v>
      </c>
      <c r="U2" s="663" t="s">
        <v>94</v>
      </c>
      <c r="V2" s="663" t="s">
        <v>4</v>
      </c>
      <c r="W2" s="663" t="s">
        <v>94</v>
      </c>
      <c r="X2" s="663" t="s">
        <v>4</v>
      </c>
      <c r="Y2" s="663" t="s">
        <v>94</v>
      </c>
      <c r="Z2" s="663" t="s">
        <v>4</v>
      </c>
      <c r="AA2" s="663" t="s">
        <v>94</v>
      </c>
      <c r="AB2" s="583" t="s">
        <v>4</v>
      </c>
      <c r="AC2" s="583" t="s">
        <v>94</v>
      </c>
    </row>
    <row r="3" spans="1:29" ht="18" customHeight="1">
      <c r="A3" s="494"/>
      <c r="B3" s="354"/>
      <c r="C3" s="354"/>
      <c r="D3" s="354"/>
      <c r="E3" s="354"/>
      <c r="F3" s="354"/>
      <c r="G3" s="354"/>
      <c r="H3" s="354"/>
      <c r="I3" s="354"/>
      <c r="J3" s="354"/>
      <c r="K3" s="354"/>
      <c r="L3" s="354"/>
      <c r="M3" s="354"/>
      <c r="N3" s="354"/>
      <c r="O3" s="354"/>
      <c r="P3" s="354"/>
      <c r="Q3" s="354"/>
      <c r="R3" s="354"/>
      <c r="S3" s="354"/>
      <c r="T3" s="354"/>
      <c r="U3" s="354"/>
      <c r="V3" s="354"/>
      <c r="W3" s="354"/>
      <c r="X3" s="354"/>
      <c r="Y3" s="356"/>
      <c r="Z3" s="356"/>
      <c r="AA3" s="356"/>
      <c r="AB3" s="436"/>
      <c r="AC3" s="435"/>
    </row>
    <row r="4" spans="1:29" ht="18" customHeight="1">
      <c r="A4" s="502" t="s">
        <v>146</v>
      </c>
      <c r="B4" s="503"/>
      <c r="C4" s="503"/>
      <c r="D4" s="503"/>
      <c r="E4" s="503"/>
      <c r="F4" s="503"/>
      <c r="G4" s="503"/>
      <c r="H4" s="503"/>
      <c r="I4" s="503"/>
      <c r="J4" s="503"/>
      <c r="K4" s="503"/>
      <c r="L4" s="503"/>
      <c r="M4" s="503"/>
      <c r="N4" s="503"/>
      <c r="O4" s="503"/>
      <c r="P4" s="503"/>
      <c r="Q4" s="503"/>
      <c r="R4" s="503"/>
      <c r="S4" s="503"/>
      <c r="T4" s="503"/>
      <c r="U4" s="503"/>
      <c r="V4" s="503"/>
      <c r="W4" s="503"/>
      <c r="X4" s="503"/>
      <c r="Y4" s="503"/>
      <c r="Z4" s="503"/>
      <c r="AA4" s="503"/>
      <c r="AB4" s="503"/>
      <c r="AC4" s="503"/>
    </row>
    <row r="5" spans="1:29" ht="18" customHeight="1">
      <c r="A5" s="477" t="s">
        <v>154</v>
      </c>
      <c r="B5" s="354"/>
      <c r="C5" s="354"/>
      <c r="D5" s="354"/>
      <c r="E5" s="354"/>
      <c r="F5" s="354"/>
      <c r="G5" s="354"/>
      <c r="H5" s="354"/>
      <c r="I5" s="354"/>
      <c r="J5" s="354"/>
      <c r="K5" s="354"/>
      <c r="L5" s="354"/>
      <c r="M5" s="354"/>
      <c r="N5" s="354"/>
      <c r="O5" s="354"/>
      <c r="P5" s="354"/>
      <c r="Q5" s="354"/>
      <c r="R5" s="354"/>
      <c r="S5" s="354"/>
      <c r="T5" s="354"/>
      <c r="U5" s="354"/>
      <c r="V5" s="354">
        <v>250</v>
      </c>
      <c r="W5" s="354"/>
      <c r="X5" s="354">
        <v>1500</v>
      </c>
      <c r="Y5" s="356">
        <f>-101.24-82.68-186.73-132.66-122.14-96.59</f>
        <v>-722.04</v>
      </c>
      <c r="Z5" s="356">
        <v>500</v>
      </c>
      <c r="AA5" s="356">
        <f>-12.46-96.88-53.1-43.12-126.79-84.21-46.82-30.85-135.68</f>
        <v>-629.91000000000008</v>
      </c>
      <c r="AB5" s="436">
        <f>V5+X5+Z5</f>
        <v>2250</v>
      </c>
      <c r="AC5" s="435">
        <f>Y5+AA5</f>
        <v>-1351.95</v>
      </c>
    </row>
    <row r="6" spans="1:29" ht="18" customHeight="1">
      <c r="A6" s="477" t="s">
        <v>140</v>
      </c>
      <c r="B6" s="354"/>
      <c r="C6" s="354"/>
      <c r="D6" s="354"/>
      <c r="E6" s="354"/>
      <c r="F6" s="354"/>
      <c r="G6" s="354"/>
      <c r="H6" s="354"/>
      <c r="I6" s="354"/>
      <c r="J6" s="354"/>
      <c r="K6" s="354"/>
      <c r="L6" s="354"/>
      <c r="M6" s="354"/>
      <c r="N6" s="354"/>
      <c r="O6" s="354"/>
      <c r="P6" s="354"/>
      <c r="Q6" s="354"/>
      <c r="R6" s="354"/>
      <c r="S6" s="354"/>
      <c r="T6" s="354"/>
      <c r="U6" s="354"/>
      <c r="V6" s="354"/>
      <c r="W6" s="354"/>
      <c r="X6" s="354">
        <v>500</v>
      </c>
      <c r="Y6" s="356"/>
      <c r="Z6" s="356">
        <v>500</v>
      </c>
      <c r="AA6" s="356">
        <f>-233.3-53.3-265.96</f>
        <v>-552.55999999999995</v>
      </c>
      <c r="AB6" s="436">
        <f>X6+Z6</f>
        <v>1000</v>
      </c>
      <c r="AC6" s="435">
        <f>AA6</f>
        <v>-552.55999999999995</v>
      </c>
    </row>
    <row r="7" spans="1:29" ht="18" customHeight="1">
      <c r="A7" s="477" t="s">
        <v>139</v>
      </c>
      <c r="B7" s="354"/>
      <c r="C7" s="354"/>
      <c r="D7" s="354"/>
      <c r="E7" s="354"/>
      <c r="F7" s="354"/>
      <c r="G7" s="354"/>
      <c r="H7" s="354"/>
      <c r="I7" s="354"/>
      <c r="J7" s="354"/>
      <c r="K7" s="354"/>
      <c r="L7" s="354"/>
      <c r="M7" s="354"/>
      <c r="N7" s="354"/>
      <c r="O7" s="354"/>
      <c r="P7" s="354"/>
      <c r="Q7" s="354"/>
      <c r="R7" s="354"/>
      <c r="S7" s="354"/>
      <c r="T7" s="354"/>
      <c r="U7" s="354"/>
      <c r="V7" s="354"/>
      <c r="W7" s="354"/>
      <c r="X7" s="354">
        <v>2000</v>
      </c>
      <c r="Y7" s="356"/>
      <c r="Z7" s="356">
        <v>1000</v>
      </c>
      <c r="AA7" s="356">
        <v>-340.25</v>
      </c>
      <c r="AB7" s="436">
        <f>X7+Z7</f>
        <v>3000</v>
      </c>
      <c r="AC7" s="435"/>
    </row>
    <row r="8" spans="1:29" ht="18" customHeight="1">
      <c r="A8" s="477" t="s">
        <v>138</v>
      </c>
      <c r="B8" s="354"/>
      <c r="C8" s="354"/>
      <c r="D8" s="354"/>
      <c r="E8" s="354"/>
      <c r="F8" s="354"/>
      <c r="G8" s="354"/>
      <c r="H8" s="354"/>
      <c r="I8" s="354"/>
      <c r="J8" s="354"/>
      <c r="K8" s="354"/>
      <c r="L8" s="354"/>
      <c r="M8" s="354"/>
      <c r="N8" s="354"/>
      <c r="O8" s="354"/>
      <c r="P8" s="354"/>
      <c r="Q8" s="354"/>
      <c r="R8" s="354"/>
      <c r="S8" s="354"/>
      <c r="T8" s="354"/>
      <c r="U8" s="354"/>
      <c r="V8" s="354"/>
      <c r="W8" s="354"/>
      <c r="X8" s="354">
        <v>200</v>
      </c>
      <c r="Y8" s="356"/>
      <c r="Z8" s="356">
        <v>200</v>
      </c>
      <c r="AA8" s="356"/>
      <c r="AB8" s="436">
        <f>Z8+Z8</f>
        <v>400</v>
      </c>
      <c r="AC8" s="435">
        <f>AA8</f>
        <v>0</v>
      </c>
    </row>
    <row r="9" spans="1:29" ht="18" customHeight="1">
      <c r="A9" s="477" t="s">
        <v>141</v>
      </c>
      <c r="B9" s="354"/>
      <c r="C9" s="354"/>
      <c r="D9" s="354"/>
      <c r="E9" s="354"/>
      <c r="F9" s="354"/>
      <c r="G9" s="354"/>
      <c r="H9" s="354"/>
      <c r="I9" s="354"/>
      <c r="J9" s="354"/>
      <c r="K9" s="354"/>
      <c r="L9" s="354"/>
      <c r="M9" s="354"/>
      <c r="N9" s="354"/>
      <c r="O9" s="354"/>
      <c r="P9" s="354"/>
      <c r="Q9" s="354"/>
      <c r="R9" s="354"/>
      <c r="S9" s="354"/>
      <c r="T9" s="354"/>
      <c r="U9" s="354"/>
      <c r="V9" s="354"/>
      <c r="W9" s="354"/>
      <c r="X9" s="354"/>
      <c r="Y9" s="356"/>
      <c r="Z9" s="356">
        <v>150</v>
      </c>
      <c r="AA9" s="356"/>
      <c r="AB9" s="436">
        <f>Z9</f>
        <v>150</v>
      </c>
      <c r="AC9" s="435"/>
    </row>
    <row r="10" spans="1:29" ht="18" customHeight="1">
      <c r="A10" s="477" t="s">
        <v>9</v>
      </c>
      <c r="B10" s="354"/>
      <c r="C10" s="354"/>
      <c r="D10" s="354">
        <f>1200+2000+1500</f>
        <v>4700</v>
      </c>
      <c r="E10" s="354">
        <f>-1508.32-13.92-50</f>
        <v>-1572.24</v>
      </c>
      <c r="F10" s="354">
        <f>-16.27-32.53-644.12-6.51</f>
        <v>-699.43</v>
      </c>
      <c r="G10" s="354">
        <v>-200</v>
      </c>
      <c r="H10" s="354">
        <v>-27.34</v>
      </c>
      <c r="I10" s="354">
        <f>(900*2)+(100*10)+500+1500</f>
        <v>4800</v>
      </c>
      <c r="J10" s="354">
        <v>-1426.19</v>
      </c>
      <c r="K10" s="354"/>
      <c r="L10" s="354"/>
      <c r="M10" s="354"/>
      <c r="N10" s="354"/>
      <c r="O10" s="354"/>
      <c r="P10" s="354">
        <v>2500</v>
      </c>
      <c r="Q10" s="354"/>
      <c r="R10" s="354"/>
      <c r="S10" s="354"/>
      <c r="T10" s="354">
        <v>800</v>
      </c>
      <c r="U10" s="354"/>
      <c r="V10" s="354">
        <v>100</v>
      </c>
      <c r="W10" s="354"/>
      <c r="X10" s="354">
        <v>2000</v>
      </c>
      <c r="Y10" s="356">
        <f>-72.55-7.04-121.94</f>
        <v>-201.53</v>
      </c>
      <c r="Z10" s="356">
        <v>1000</v>
      </c>
      <c r="AA10" s="356">
        <f>-21.34-59.64-8.99</f>
        <v>-89.97</v>
      </c>
      <c r="AB10" s="436">
        <f>D10+I10+P10+T10+V10+X10+Z10</f>
        <v>15900</v>
      </c>
      <c r="AC10" s="435">
        <f>Y10+AA10+F10+E10+J10+H10+G10</f>
        <v>-4216.7000000000007</v>
      </c>
    </row>
    <row r="11" spans="1:29" ht="18" customHeight="1">
      <c r="A11" s="477" t="s">
        <v>215</v>
      </c>
      <c r="B11" s="354"/>
      <c r="C11" s="354"/>
      <c r="D11" s="354">
        <v>330</v>
      </c>
      <c r="E11" s="354">
        <v>-330</v>
      </c>
      <c r="F11" s="354"/>
      <c r="G11" s="354"/>
      <c r="H11" s="354"/>
      <c r="I11" s="354">
        <v>430</v>
      </c>
      <c r="J11" s="354">
        <v>-430</v>
      </c>
      <c r="K11" s="354"/>
      <c r="L11" s="354"/>
      <c r="M11" s="354"/>
      <c r="N11" s="354"/>
      <c r="O11" s="354"/>
      <c r="P11" s="354"/>
      <c r="Q11" s="354"/>
      <c r="R11" s="354"/>
      <c r="S11" s="354"/>
      <c r="T11" s="354">
        <v>200</v>
      </c>
      <c r="U11" s="354"/>
      <c r="V11" s="354"/>
      <c r="W11" s="354"/>
      <c r="X11" s="354">
        <v>350</v>
      </c>
      <c r="Y11" s="356">
        <v>-20</v>
      </c>
      <c r="Z11" s="356">
        <v>50</v>
      </c>
      <c r="AA11" s="356">
        <f>-8.15-20-10-3-3.25</f>
        <v>-44.4</v>
      </c>
      <c r="AB11" s="436">
        <f>T11+X11+Z11+D11+I11</f>
        <v>1360</v>
      </c>
      <c r="AC11" s="435">
        <f>Y11+AA11+E11+J11</f>
        <v>-824.4</v>
      </c>
    </row>
    <row r="12" spans="1:29" ht="18" customHeight="1">
      <c r="A12" s="502" t="s">
        <v>147</v>
      </c>
      <c r="B12" s="503"/>
      <c r="C12" s="503"/>
      <c r="D12" s="503"/>
      <c r="E12" s="503"/>
      <c r="F12" s="503"/>
      <c r="G12" s="503"/>
      <c r="H12" s="503"/>
      <c r="I12" s="503"/>
      <c r="J12" s="503"/>
      <c r="K12" s="503"/>
      <c r="L12" s="503"/>
      <c r="M12" s="503"/>
      <c r="N12" s="503"/>
      <c r="O12" s="503"/>
      <c r="P12" s="503"/>
      <c r="Q12" s="503"/>
      <c r="R12" s="503"/>
      <c r="S12" s="503"/>
      <c r="T12" s="503"/>
      <c r="U12" s="503"/>
      <c r="V12" s="503"/>
      <c r="W12" s="503"/>
      <c r="X12" s="503"/>
      <c r="Y12" s="503"/>
      <c r="Z12" s="503"/>
      <c r="AA12" s="503"/>
      <c r="AB12" s="503"/>
      <c r="AC12" s="503"/>
    </row>
    <row r="13" spans="1:29" ht="18" customHeight="1">
      <c r="A13" s="477" t="s">
        <v>142</v>
      </c>
      <c r="B13" s="354"/>
      <c r="C13" s="354"/>
      <c r="D13" s="354"/>
      <c r="E13" s="354"/>
      <c r="F13" s="354"/>
      <c r="G13" s="354"/>
      <c r="H13" s="354"/>
      <c r="I13" s="354"/>
      <c r="J13" s="354"/>
      <c r="K13" s="354"/>
      <c r="L13" s="354"/>
      <c r="M13" s="354"/>
      <c r="N13" s="354"/>
      <c r="O13" s="354"/>
      <c r="P13" s="354"/>
      <c r="Q13" s="354"/>
      <c r="R13" s="354"/>
      <c r="S13" s="354"/>
      <c r="T13" s="354"/>
      <c r="U13" s="354"/>
      <c r="V13" s="354"/>
      <c r="W13" s="354"/>
      <c r="X13" s="354"/>
      <c r="Y13" s="356"/>
      <c r="Z13" s="356"/>
      <c r="AA13" s="356"/>
      <c r="AB13" s="436"/>
      <c r="AC13" s="435"/>
    </row>
    <row r="14" spans="1:29" ht="18" customHeight="1">
      <c r="A14" s="477" t="s">
        <v>143</v>
      </c>
      <c r="B14" s="354"/>
      <c r="C14" s="354"/>
      <c r="D14" s="354"/>
      <c r="E14" s="354"/>
      <c r="F14" s="354"/>
      <c r="G14" s="354"/>
      <c r="H14" s="354"/>
      <c r="I14" s="354"/>
      <c r="J14" s="354"/>
      <c r="K14" s="354"/>
      <c r="L14" s="354"/>
      <c r="M14" s="354"/>
      <c r="N14" s="354"/>
      <c r="O14" s="354"/>
      <c r="P14" s="354"/>
      <c r="Q14" s="354"/>
      <c r="R14" s="354"/>
      <c r="S14" s="354"/>
      <c r="T14" s="354"/>
      <c r="U14" s="354"/>
      <c r="V14" s="354"/>
      <c r="W14" s="354"/>
      <c r="X14" s="354"/>
      <c r="Y14" s="356"/>
      <c r="Z14" s="356"/>
      <c r="AA14" s="356"/>
      <c r="AB14" s="436"/>
      <c r="AC14" s="435"/>
    </row>
    <row r="15" spans="1:29" ht="18" customHeight="1">
      <c r="A15" s="477" t="s">
        <v>144</v>
      </c>
      <c r="B15" s="354"/>
      <c r="C15" s="354"/>
      <c r="D15" s="354"/>
      <c r="E15" s="354"/>
      <c r="F15" s="354"/>
      <c r="G15" s="354"/>
      <c r="H15" s="354"/>
      <c r="I15" s="354"/>
      <c r="J15" s="354"/>
      <c r="K15" s="354"/>
      <c r="L15" s="354"/>
      <c r="M15" s="354"/>
      <c r="N15" s="354"/>
      <c r="O15" s="354"/>
      <c r="P15" s="354"/>
      <c r="Q15" s="354"/>
      <c r="R15" s="354"/>
      <c r="S15" s="354"/>
      <c r="T15" s="354"/>
      <c r="U15" s="354"/>
      <c r="V15" s="354"/>
      <c r="W15" s="354"/>
      <c r="X15" s="354"/>
      <c r="Y15" s="356"/>
      <c r="Z15" s="356"/>
      <c r="AA15" s="356"/>
      <c r="AB15" s="436"/>
      <c r="AC15" s="435"/>
    </row>
    <row r="16" spans="1:29" ht="18" customHeight="1">
      <c r="A16" s="477" t="s">
        <v>145</v>
      </c>
      <c r="B16" s="354"/>
      <c r="C16" s="354"/>
      <c r="D16" s="354"/>
      <c r="E16" s="354"/>
      <c r="F16" s="354"/>
      <c r="G16" s="354"/>
      <c r="H16" s="354"/>
      <c r="I16" s="354"/>
      <c r="J16" s="354"/>
      <c r="K16" s="354"/>
      <c r="L16" s="354"/>
      <c r="M16" s="354"/>
      <c r="N16" s="354"/>
      <c r="O16" s="354"/>
      <c r="P16" s="354"/>
      <c r="Q16" s="354"/>
      <c r="R16" s="354"/>
      <c r="S16" s="354"/>
      <c r="T16" s="354"/>
      <c r="U16" s="354"/>
      <c r="V16" s="354"/>
      <c r="W16" s="354"/>
      <c r="X16" s="354"/>
      <c r="Y16" s="356"/>
      <c r="Z16" s="356"/>
      <c r="AA16" s="356"/>
      <c r="AB16" s="436"/>
      <c r="AC16" s="435"/>
    </row>
    <row r="17" spans="1:29" ht="18" customHeight="1">
      <c r="A17" s="502" t="s">
        <v>148</v>
      </c>
      <c r="B17" s="503"/>
      <c r="C17" s="503"/>
      <c r="D17" s="503"/>
      <c r="E17" s="503"/>
      <c r="F17" s="503"/>
      <c r="G17" s="503"/>
      <c r="H17" s="503"/>
      <c r="I17" s="503"/>
      <c r="J17" s="503"/>
      <c r="K17" s="503"/>
      <c r="L17" s="503"/>
      <c r="M17" s="503"/>
      <c r="N17" s="503"/>
      <c r="O17" s="503"/>
      <c r="P17" s="503"/>
      <c r="Q17" s="503"/>
      <c r="R17" s="503"/>
      <c r="S17" s="503"/>
      <c r="T17" s="503"/>
      <c r="U17" s="503"/>
      <c r="V17" s="503"/>
      <c r="W17" s="503"/>
      <c r="X17" s="503"/>
      <c r="Y17" s="503"/>
      <c r="Z17" s="503"/>
      <c r="AA17" s="503"/>
      <c r="AB17" s="503"/>
      <c r="AC17" s="503"/>
    </row>
    <row r="18" spans="1:29" ht="18" customHeight="1">
      <c r="A18" s="477" t="s">
        <v>149</v>
      </c>
      <c r="B18" s="354"/>
      <c r="C18" s="354"/>
      <c r="D18" s="354">
        <v>1159.49</v>
      </c>
      <c r="E18" s="354">
        <f>-1159.49-341</f>
        <v>-1500.49</v>
      </c>
      <c r="F18" s="354"/>
      <c r="G18" s="354"/>
      <c r="H18" s="354"/>
      <c r="I18" s="354"/>
      <c r="J18" s="354"/>
      <c r="K18" s="354"/>
      <c r="L18" s="354"/>
      <c r="M18" s="354"/>
      <c r="N18" s="354"/>
      <c r="O18" s="354"/>
      <c r="P18" s="354">
        <v>500</v>
      </c>
      <c r="Q18" s="354"/>
      <c r="R18" s="354"/>
      <c r="S18" s="354"/>
      <c r="T18" s="354" t="s">
        <v>351</v>
      </c>
      <c r="U18" s="354"/>
      <c r="V18" s="354"/>
      <c r="W18" s="354"/>
      <c r="X18" s="354">
        <v>1.75</v>
      </c>
      <c r="Y18" s="356">
        <v>-1.75</v>
      </c>
      <c r="Z18" s="356">
        <v>200</v>
      </c>
      <c r="AA18" s="356"/>
      <c r="AB18" s="436">
        <f>+D18+X18+P18+Z18</f>
        <v>1861.24</v>
      </c>
      <c r="AC18" s="435">
        <f>E18+Y18</f>
        <v>-1502.24</v>
      </c>
    </row>
    <row r="19" spans="1:29" ht="18" customHeight="1">
      <c r="A19" s="477" t="s">
        <v>150</v>
      </c>
      <c r="B19" s="354"/>
      <c r="C19" s="354"/>
      <c r="D19" s="354"/>
      <c r="E19" s="354"/>
      <c r="F19" s="354"/>
      <c r="G19" s="354"/>
      <c r="H19" s="354"/>
      <c r="I19" s="354"/>
      <c r="J19" s="354"/>
      <c r="K19" s="354"/>
      <c r="L19" s="354"/>
      <c r="M19" s="354"/>
      <c r="N19" s="354"/>
      <c r="O19" s="354"/>
      <c r="P19" s="354"/>
      <c r="Q19" s="354"/>
      <c r="R19" s="354"/>
      <c r="S19" s="354"/>
      <c r="T19" s="354"/>
      <c r="U19" s="354"/>
      <c r="V19" s="354"/>
      <c r="W19" s="354"/>
      <c r="X19" s="354"/>
      <c r="Y19" s="356"/>
      <c r="Z19" s="356"/>
      <c r="AA19" s="356"/>
      <c r="AB19" s="436"/>
      <c r="AC19" s="435"/>
    </row>
    <row r="20" spans="1:29" ht="18" customHeight="1">
      <c r="A20" s="477" t="s">
        <v>151</v>
      </c>
      <c r="B20" s="354">
        <v>500</v>
      </c>
      <c r="C20" s="354"/>
      <c r="D20" s="354">
        <v>2500</v>
      </c>
      <c r="E20" s="354">
        <f>-273.75-4667</f>
        <v>-4940.75</v>
      </c>
      <c r="F20" s="354"/>
      <c r="G20" s="354"/>
      <c r="H20" s="354"/>
      <c r="I20" s="354"/>
      <c r="J20" s="354"/>
      <c r="K20" s="354"/>
      <c r="L20" s="354"/>
      <c r="M20" s="354"/>
      <c r="N20" s="354"/>
      <c r="O20" s="354"/>
      <c r="P20" s="354">
        <v>2000</v>
      </c>
      <c r="Q20" s="354"/>
      <c r="R20" s="354"/>
      <c r="S20" s="354"/>
      <c r="T20" s="354"/>
      <c r="U20" s="354"/>
      <c r="V20" s="354"/>
      <c r="W20" s="354"/>
      <c r="X20" s="354"/>
      <c r="Y20" s="356"/>
      <c r="Z20" s="356"/>
      <c r="AA20" s="356"/>
      <c r="AB20" s="436">
        <f>B20+D20+P20</f>
        <v>5000</v>
      </c>
      <c r="AC20" s="435">
        <f>E20</f>
        <v>-4940.75</v>
      </c>
    </row>
    <row r="21" spans="1:29" ht="18" customHeight="1">
      <c r="A21" s="477" t="s">
        <v>152</v>
      </c>
      <c r="B21" s="354"/>
      <c r="C21" s="354"/>
      <c r="D21" s="354"/>
      <c r="E21" s="354"/>
      <c r="F21" s="354"/>
      <c r="G21" s="354"/>
      <c r="H21" s="354"/>
      <c r="I21" s="354"/>
      <c r="J21" s="354"/>
      <c r="K21" s="354"/>
      <c r="L21" s="354"/>
      <c r="M21" s="354"/>
      <c r="N21" s="354"/>
      <c r="O21" s="354"/>
      <c r="P21" s="354"/>
      <c r="Q21" s="354"/>
      <c r="R21" s="354"/>
      <c r="S21" s="354"/>
      <c r="T21" s="354"/>
      <c r="U21" s="354"/>
      <c r="V21" s="354"/>
      <c r="W21" s="354"/>
      <c r="X21" s="354"/>
      <c r="Y21" s="356"/>
      <c r="Z21" s="356"/>
      <c r="AA21" s="356"/>
      <c r="AB21" s="436"/>
      <c r="AC21" s="435"/>
    </row>
    <row r="22" spans="1:29" ht="18" customHeight="1">
      <c r="A22" s="502" t="s">
        <v>153</v>
      </c>
      <c r="B22" s="503"/>
      <c r="C22" s="503"/>
      <c r="D22" s="503"/>
      <c r="E22" s="503"/>
      <c r="F22" s="503"/>
      <c r="G22" s="503"/>
      <c r="H22" s="503"/>
      <c r="I22" s="503"/>
      <c r="J22" s="503"/>
      <c r="K22" s="503"/>
      <c r="L22" s="503"/>
      <c r="M22" s="503"/>
      <c r="N22" s="503"/>
      <c r="O22" s="503"/>
      <c r="P22" s="503"/>
      <c r="Q22" s="503"/>
      <c r="R22" s="503"/>
      <c r="S22" s="503"/>
      <c r="T22" s="503"/>
      <c r="U22" s="503"/>
      <c r="V22" s="503"/>
      <c r="W22" s="503"/>
      <c r="X22" s="503"/>
      <c r="Y22" s="503"/>
      <c r="Z22" s="503"/>
      <c r="AA22" s="503"/>
      <c r="AB22" s="503"/>
      <c r="AC22" s="503"/>
    </row>
    <row r="23" spans="1:29" ht="18" customHeight="1">
      <c r="A23" s="477" t="s">
        <v>155</v>
      </c>
      <c r="B23" s="354"/>
      <c r="C23" s="354"/>
      <c r="D23" s="354"/>
      <c r="E23" s="354"/>
      <c r="F23" s="354"/>
      <c r="G23" s="354"/>
      <c r="H23" s="354"/>
      <c r="I23" s="354"/>
      <c r="J23" s="354"/>
      <c r="K23" s="354"/>
      <c r="L23" s="354"/>
      <c r="M23" s="354"/>
      <c r="N23" s="354"/>
      <c r="O23" s="354"/>
      <c r="P23" s="354"/>
      <c r="Q23" s="354"/>
      <c r="R23" s="354"/>
      <c r="S23" s="354"/>
      <c r="T23" s="354"/>
      <c r="U23" s="354"/>
      <c r="V23" s="354"/>
      <c r="W23" s="354"/>
      <c r="X23" s="354"/>
      <c r="Y23" s="356"/>
      <c r="Z23" s="356"/>
      <c r="AA23" s="356"/>
      <c r="AB23" s="436"/>
      <c r="AC23" s="435"/>
    </row>
    <row r="24" spans="1:29" ht="18" customHeight="1">
      <c r="A24" s="477" t="s">
        <v>156</v>
      </c>
      <c r="B24" s="354"/>
      <c r="C24" s="354"/>
      <c r="D24" s="354">
        <v>32</v>
      </c>
      <c r="E24" s="354">
        <v>-32</v>
      </c>
      <c r="F24" s="354"/>
      <c r="G24" s="354"/>
      <c r="H24" s="354"/>
      <c r="I24" s="354"/>
      <c r="J24" s="354"/>
      <c r="K24" s="354"/>
      <c r="L24" s="354"/>
      <c r="M24" s="354"/>
      <c r="N24" s="354"/>
      <c r="O24" s="354"/>
      <c r="P24" s="354"/>
      <c r="Q24" s="354"/>
      <c r="R24" s="354"/>
      <c r="S24" s="354"/>
      <c r="T24" s="354"/>
      <c r="U24" s="354"/>
      <c r="V24" s="354"/>
      <c r="W24" s="354"/>
      <c r="X24" s="354"/>
      <c r="Y24" s="356"/>
      <c r="Z24" s="356"/>
      <c r="AA24" s="356"/>
      <c r="AB24" s="436">
        <f>D24</f>
        <v>32</v>
      </c>
      <c r="AC24" s="435">
        <f>E24</f>
        <v>-32</v>
      </c>
    </row>
    <row r="25" spans="1:29" ht="18" customHeight="1">
      <c r="A25" s="477" t="s">
        <v>129</v>
      </c>
      <c r="B25" s="354"/>
      <c r="C25" s="354"/>
      <c r="D25" s="354"/>
      <c r="E25" s="354"/>
      <c r="F25" s="354"/>
      <c r="G25" s="354"/>
      <c r="H25" s="354"/>
      <c r="I25" s="354"/>
      <c r="J25" s="354"/>
      <c r="K25" s="354"/>
      <c r="L25" s="354"/>
      <c r="M25" s="354"/>
      <c r="N25" s="354"/>
      <c r="O25" s="354"/>
      <c r="P25" s="354"/>
      <c r="Q25" s="354"/>
      <c r="R25" s="354"/>
      <c r="S25" s="354"/>
      <c r="T25" s="354"/>
      <c r="U25" s="354"/>
      <c r="V25" s="354"/>
      <c r="W25" s="354"/>
      <c r="X25" s="354"/>
      <c r="Y25" s="356"/>
      <c r="Z25" s="356"/>
      <c r="AA25" s="356"/>
      <c r="AB25" s="436"/>
      <c r="AC25" s="435"/>
    </row>
    <row r="26" spans="1:29" ht="18" customHeight="1">
      <c r="A26" s="477" t="s">
        <v>157</v>
      </c>
      <c r="B26" s="354"/>
      <c r="C26" s="354"/>
      <c r="D26" s="354"/>
      <c r="E26" s="354"/>
      <c r="F26" s="354"/>
      <c r="G26" s="354"/>
      <c r="H26" s="354"/>
      <c r="I26" s="354"/>
      <c r="J26" s="354"/>
      <c r="K26" s="354"/>
      <c r="L26" s="354"/>
      <c r="M26" s="354"/>
      <c r="N26" s="354"/>
      <c r="O26" s="354"/>
      <c r="P26" s="354"/>
      <c r="Q26" s="354"/>
      <c r="R26" s="354"/>
      <c r="S26" s="354"/>
      <c r="T26" s="354"/>
      <c r="U26" s="354"/>
      <c r="V26" s="354"/>
      <c r="W26" s="354"/>
      <c r="X26" s="354"/>
      <c r="Y26" s="356"/>
      <c r="Z26" s="356"/>
      <c r="AA26" s="356"/>
      <c r="AB26" s="436"/>
      <c r="AC26" s="435"/>
    </row>
    <row r="27" spans="1:29" ht="18" customHeight="1">
      <c r="A27" s="502" t="s">
        <v>160</v>
      </c>
      <c r="B27" s="503"/>
      <c r="C27" s="503"/>
      <c r="D27" s="503"/>
      <c r="E27" s="503"/>
      <c r="F27" s="503"/>
      <c r="G27" s="503"/>
      <c r="H27" s="503"/>
      <c r="I27" s="503"/>
      <c r="J27" s="503"/>
      <c r="K27" s="503"/>
      <c r="L27" s="503"/>
      <c r="M27" s="503"/>
      <c r="N27" s="503"/>
      <c r="O27" s="503"/>
      <c r="P27" s="503"/>
      <c r="Q27" s="503"/>
      <c r="R27" s="503"/>
      <c r="S27" s="503"/>
      <c r="T27" s="503"/>
      <c r="U27" s="503"/>
      <c r="V27" s="503"/>
      <c r="W27" s="503"/>
      <c r="X27" s="503"/>
      <c r="Y27" s="503"/>
      <c r="Z27" s="503"/>
      <c r="AA27" s="503"/>
      <c r="AB27" s="503"/>
      <c r="AC27" s="503"/>
    </row>
    <row r="28" spans="1:29" ht="18" customHeight="1">
      <c r="A28" s="477" t="s">
        <v>161</v>
      </c>
      <c r="B28" s="354"/>
      <c r="C28" s="354"/>
      <c r="D28" s="354"/>
      <c r="E28" s="354"/>
      <c r="F28" s="354"/>
      <c r="G28" s="354"/>
      <c r="H28" s="354"/>
      <c r="I28" s="354"/>
      <c r="J28" s="354"/>
      <c r="K28" s="354"/>
      <c r="L28" s="354"/>
      <c r="M28" s="354"/>
      <c r="N28" s="354"/>
      <c r="O28" s="354"/>
      <c r="P28" s="354"/>
      <c r="Q28" s="354"/>
      <c r="R28" s="354"/>
      <c r="S28" s="354"/>
      <c r="T28" s="354"/>
      <c r="U28" s="354"/>
      <c r="V28" s="354"/>
      <c r="W28" s="354"/>
      <c r="X28" s="354"/>
      <c r="Y28" s="356"/>
      <c r="Z28" s="356"/>
      <c r="AA28" s="356"/>
      <c r="AB28" s="436"/>
      <c r="AC28" s="435"/>
    </row>
    <row r="29" spans="1:29" ht="18" customHeight="1">
      <c r="A29" s="477" t="s">
        <v>162</v>
      </c>
      <c r="B29" s="354"/>
      <c r="C29" s="354"/>
      <c r="D29" s="354"/>
      <c r="E29" s="354"/>
      <c r="F29" s="354"/>
      <c r="G29" s="354"/>
      <c r="H29" s="354"/>
      <c r="I29" s="354"/>
      <c r="J29" s="354"/>
      <c r="K29" s="354"/>
      <c r="L29" s="354"/>
      <c r="M29" s="354"/>
      <c r="N29" s="354"/>
      <c r="O29" s="354"/>
      <c r="P29" s="354"/>
      <c r="Q29" s="354"/>
      <c r="R29" s="354"/>
      <c r="S29" s="354"/>
      <c r="T29" s="354"/>
      <c r="U29" s="354"/>
      <c r="V29" s="354"/>
      <c r="W29" s="354"/>
      <c r="X29" s="354">
        <v>1700</v>
      </c>
      <c r="Y29" s="356"/>
      <c r="Z29" s="356">
        <v>1000</v>
      </c>
      <c r="AA29" s="356"/>
      <c r="AB29" s="436">
        <f>X29+Z29</f>
        <v>2700</v>
      </c>
      <c r="AC29" s="435"/>
    </row>
    <row r="30" spans="1:29" ht="18" customHeight="1">
      <c r="A30" s="477" t="s">
        <v>163</v>
      </c>
      <c r="B30" s="354"/>
      <c r="C30" s="354"/>
      <c r="D30" s="354"/>
      <c r="E30" s="354"/>
      <c r="F30" s="354"/>
      <c r="G30" s="354"/>
      <c r="H30" s="354"/>
      <c r="I30" s="354"/>
      <c r="J30" s="354"/>
      <c r="K30" s="354"/>
      <c r="L30" s="354"/>
      <c r="M30" s="354"/>
      <c r="N30" s="354"/>
      <c r="O30" s="354"/>
      <c r="P30" s="354"/>
      <c r="Q30" s="354"/>
      <c r="R30" s="354"/>
      <c r="S30" s="354"/>
      <c r="T30" s="354"/>
      <c r="U30" s="354"/>
      <c r="V30" s="354"/>
      <c r="W30" s="354"/>
      <c r="X30" s="354"/>
      <c r="Y30" s="356"/>
      <c r="Z30" s="356"/>
      <c r="AA30" s="356"/>
      <c r="AB30" s="436"/>
      <c r="AC30" s="435"/>
    </row>
    <row r="31" spans="1:29" ht="18" customHeight="1">
      <c r="A31" s="477" t="s">
        <v>164</v>
      </c>
      <c r="B31" s="354"/>
      <c r="C31" s="354"/>
      <c r="D31" s="354"/>
      <c r="E31" s="354"/>
      <c r="F31" s="354"/>
      <c r="G31" s="354"/>
      <c r="H31" s="354"/>
      <c r="I31" s="354"/>
      <c r="J31" s="354"/>
      <c r="K31" s="354"/>
      <c r="L31" s="354"/>
      <c r="M31" s="354"/>
      <c r="N31" s="354"/>
      <c r="O31" s="354"/>
      <c r="P31" s="354"/>
      <c r="Q31" s="354"/>
      <c r="R31" s="354"/>
      <c r="S31" s="354"/>
      <c r="T31" s="354"/>
      <c r="U31" s="354"/>
      <c r="V31" s="354"/>
      <c r="W31" s="354"/>
      <c r="X31" s="354"/>
      <c r="Y31" s="356"/>
      <c r="Z31" s="356"/>
      <c r="AA31" s="356"/>
      <c r="AB31" s="436"/>
      <c r="AC31" s="435"/>
    </row>
    <row r="32" spans="1:29" ht="18" customHeight="1">
      <c r="A32" s="477" t="s">
        <v>165</v>
      </c>
      <c r="B32" s="354"/>
      <c r="C32" s="354"/>
      <c r="D32" s="354"/>
      <c r="E32" s="354"/>
      <c r="F32" s="354"/>
      <c r="G32" s="354"/>
      <c r="H32" s="354"/>
      <c r="I32" s="354"/>
      <c r="J32" s="354"/>
      <c r="K32" s="354"/>
      <c r="L32" s="354"/>
      <c r="M32" s="354"/>
      <c r="N32" s="354"/>
      <c r="O32" s="354"/>
      <c r="P32" s="354"/>
      <c r="Q32" s="354"/>
      <c r="R32" s="354"/>
      <c r="S32" s="354"/>
      <c r="T32" s="354"/>
      <c r="U32" s="354"/>
      <c r="V32" s="354"/>
      <c r="W32" s="354"/>
      <c r="X32" s="354"/>
      <c r="Y32" s="356"/>
      <c r="Z32" s="356"/>
      <c r="AA32" s="356"/>
      <c r="AB32" s="436"/>
      <c r="AC32" s="435"/>
    </row>
    <row r="33" spans="1:29" ht="18" customHeight="1">
      <c r="A33" s="502" t="str">
        <f>'[2]AVP  Health'!A38</f>
        <v>Community Relations</v>
      </c>
      <c r="B33" s="503"/>
      <c r="C33" s="503"/>
      <c r="D33" s="503"/>
      <c r="E33" s="503"/>
      <c r="F33" s="503"/>
      <c r="G33" s="503"/>
      <c r="H33" s="503"/>
      <c r="I33" s="503"/>
      <c r="J33" s="503"/>
      <c r="K33" s="503"/>
      <c r="L33" s="503"/>
      <c r="M33" s="503"/>
      <c r="N33" s="503"/>
      <c r="O33" s="503"/>
      <c r="P33" s="503"/>
      <c r="Q33" s="503"/>
      <c r="R33" s="503"/>
      <c r="S33" s="503"/>
      <c r="T33" s="503"/>
      <c r="U33" s="503"/>
      <c r="V33" s="503"/>
      <c r="W33" s="503"/>
      <c r="X33" s="503"/>
      <c r="Y33" s="503"/>
      <c r="Z33" s="503"/>
      <c r="AA33" s="503"/>
      <c r="AB33" s="503"/>
      <c r="AC33" s="503"/>
    </row>
    <row r="34" spans="1:29" ht="18.75" customHeight="1">
      <c r="A34" s="491" t="str">
        <f>'[2]AVP  Health'!A39</f>
        <v xml:space="preserve">Moving Expenses </v>
      </c>
      <c r="B34" s="354"/>
      <c r="C34" s="354"/>
      <c r="D34" s="354"/>
      <c r="E34" s="354"/>
      <c r="F34" s="354"/>
      <c r="G34" s="354"/>
      <c r="H34" s="354"/>
      <c r="I34" s="354"/>
      <c r="J34" s="354"/>
      <c r="K34" s="354"/>
      <c r="L34" s="354"/>
      <c r="M34" s="354"/>
      <c r="N34" s="354"/>
      <c r="O34" s="354"/>
      <c r="P34" s="354"/>
      <c r="Q34" s="354"/>
      <c r="R34" s="354"/>
      <c r="S34" s="354"/>
      <c r="T34" s="354"/>
      <c r="U34" s="354"/>
      <c r="V34" s="354"/>
      <c r="W34" s="354"/>
      <c r="X34" s="354"/>
      <c r="Y34" s="356"/>
      <c r="Z34" s="356"/>
      <c r="AA34" s="356"/>
      <c r="AB34" s="436"/>
      <c r="AC34" s="435"/>
    </row>
    <row r="35" spans="1:29" ht="18" customHeight="1">
      <c r="A35" s="477" t="s">
        <v>171</v>
      </c>
      <c r="B35" s="354"/>
      <c r="C35" s="354"/>
      <c r="D35" s="354">
        <v>48</v>
      </c>
      <c r="E35" s="354">
        <f>-48-13.92-50-32</f>
        <v>-143.92000000000002</v>
      </c>
      <c r="F35" s="354"/>
      <c r="G35" s="354"/>
      <c r="H35" s="354"/>
      <c r="I35" s="354"/>
      <c r="J35" s="354"/>
      <c r="K35" s="354"/>
      <c r="L35" s="354"/>
      <c r="M35" s="354"/>
      <c r="N35" s="354"/>
      <c r="O35" s="354"/>
      <c r="P35" s="354"/>
      <c r="Q35" s="354"/>
      <c r="R35" s="354"/>
      <c r="S35" s="354"/>
      <c r="T35" s="354"/>
      <c r="U35" s="354"/>
      <c r="V35" s="354">
        <f>11*20*8</f>
        <v>1760</v>
      </c>
      <c r="W35" s="354"/>
      <c r="X35" s="354">
        <f>1020+104+250</f>
        <v>1374</v>
      </c>
      <c r="Y35" s="356">
        <f>-19.85-28.29-27.44</f>
        <v>-75.58</v>
      </c>
      <c r="Z35" s="356">
        <v>1020</v>
      </c>
      <c r="AA35" s="356">
        <v>-8</v>
      </c>
      <c r="AB35" s="436">
        <f>V35+X35+Z35+D35</f>
        <v>4202</v>
      </c>
      <c r="AC35" s="435">
        <f>AA35+E35+F35+Y35</f>
        <v>-227.5</v>
      </c>
    </row>
    <row r="36" spans="1:29">
      <c r="A36" s="494"/>
      <c r="B36" s="354"/>
      <c r="C36" s="354"/>
      <c r="D36" s="354"/>
      <c r="E36" s="354"/>
      <c r="F36" s="354"/>
      <c r="G36" s="354"/>
      <c r="H36" s="354"/>
      <c r="I36" s="354"/>
      <c r="J36" s="354"/>
      <c r="K36" s="354"/>
      <c r="L36" s="354"/>
      <c r="M36" s="354"/>
      <c r="N36" s="354"/>
      <c r="O36" s="354"/>
      <c r="P36" s="354"/>
      <c r="Q36" s="354"/>
      <c r="R36" s="354"/>
      <c r="S36" s="354"/>
      <c r="T36" s="354"/>
      <c r="U36" s="354"/>
      <c r="V36" s="354"/>
      <c r="W36" s="354"/>
      <c r="X36" s="354"/>
      <c r="Y36" s="356"/>
      <c r="Z36" s="356"/>
      <c r="AA36" s="356"/>
      <c r="AB36" s="436"/>
      <c r="AC36" s="436"/>
    </row>
    <row r="37" spans="1:29">
      <c r="A37" s="495" t="s">
        <v>28</v>
      </c>
      <c r="B37" s="416">
        <f t="shared" ref="B37:AA37" si="0">SUM(B3:B36)</f>
        <v>500</v>
      </c>
      <c r="C37" s="416">
        <f t="shared" si="0"/>
        <v>0</v>
      </c>
      <c r="D37" s="416">
        <f t="shared" si="0"/>
        <v>8769.49</v>
      </c>
      <c r="E37" s="416">
        <f t="shared" si="0"/>
        <v>-8519.4</v>
      </c>
      <c r="F37" s="416">
        <f t="shared" si="0"/>
        <v>-699.43</v>
      </c>
      <c r="G37" s="416">
        <f t="shared" si="0"/>
        <v>-200</v>
      </c>
      <c r="H37" s="416">
        <f t="shared" si="0"/>
        <v>-27.34</v>
      </c>
      <c r="I37" s="416">
        <f t="shared" si="0"/>
        <v>5230</v>
      </c>
      <c r="J37" s="416">
        <f t="shared" si="0"/>
        <v>-1856.19</v>
      </c>
      <c r="K37" s="416">
        <f t="shared" si="0"/>
        <v>0</v>
      </c>
      <c r="L37" s="416">
        <f t="shared" si="0"/>
        <v>0</v>
      </c>
      <c r="M37" s="416">
        <f t="shared" si="0"/>
        <v>0</v>
      </c>
      <c r="N37" s="416">
        <f t="shared" si="0"/>
        <v>0</v>
      </c>
      <c r="O37" s="416">
        <f t="shared" si="0"/>
        <v>0</v>
      </c>
      <c r="P37" s="416">
        <f t="shared" si="0"/>
        <v>5000</v>
      </c>
      <c r="Q37" s="416">
        <f t="shared" si="0"/>
        <v>0</v>
      </c>
      <c r="R37" s="416">
        <f t="shared" si="0"/>
        <v>0</v>
      </c>
      <c r="S37" s="416">
        <f t="shared" si="0"/>
        <v>0</v>
      </c>
      <c r="T37" s="416">
        <f>SUM(T3:T36)</f>
        <v>1000</v>
      </c>
      <c r="U37" s="416">
        <f t="shared" si="0"/>
        <v>0</v>
      </c>
      <c r="V37" s="416">
        <f t="shared" si="0"/>
        <v>2110</v>
      </c>
      <c r="W37" s="416">
        <f t="shared" si="0"/>
        <v>0</v>
      </c>
      <c r="X37" s="416">
        <f t="shared" si="0"/>
        <v>9625.75</v>
      </c>
      <c r="Y37" s="416">
        <f t="shared" si="0"/>
        <v>-1020.9</v>
      </c>
      <c r="Z37" s="416">
        <f t="shared" si="0"/>
        <v>5620</v>
      </c>
      <c r="AA37" s="416">
        <f t="shared" si="0"/>
        <v>-1665.0900000000001</v>
      </c>
      <c r="AB37" s="437">
        <f>SUM(AB3:AB36)</f>
        <v>37855.240000000005</v>
      </c>
      <c r="AC37" s="437">
        <f>SUM(AC5:AC36)</f>
        <v>-13648.1</v>
      </c>
    </row>
    <row r="38" spans="1:29">
      <c r="AB38" s="330">
        <f>B37+D37+I37+P37+T37+V37+X37+Z37</f>
        <v>37855.24</v>
      </c>
    </row>
    <row r="39" spans="1:29">
      <c r="AB39" s="329">
        <f>AB37</f>
        <v>37855.240000000005</v>
      </c>
    </row>
    <row r="41" spans="1:29">
      <c r="AB41" s="329">
        <f>AB38-AB39</f>
        <v>0</v>
      </c>
    </row>
    <row r="43" spans="1:29">
      <c r="AC43" s="329" t="s">
        <v>344</v>
      </c>
    </row>
  </sheetData>
  <mergeCells count="9">
    <mergeCell ref="AB1:AC1"/>
    <mergeCell ref="B1:C1"/>
    <mergeCell ref="D1:H1"/>
    <mergeCell ref="I1:O1"/>
    <mergeCell ref="P1:S1"/>
    <mergeCell ref="T1:U1"/>
    <mergeCell ref="V1:W1"/>
    <mergeCell ref="X1:Y1"/>
    <mergeCell ref="Z1:AA1"/>
  </mergeCells>
  <printOptions gridLines="1"/>
  <pageMargins left="0.25" right="0.25" top="0.75" bottom="0.75" header="0.3" footer="0.3"/>
  <pageSetup paperSize="17" scale="59" orientation="landscape" r:id="rId1"/>
  <headerFooter>
    <oddHeader>&amp;L&amp;8 4/2/19&amp;CCollege of Nursing Projections 20-21</oddHeader>
    <oddFooter>&amp;LCON&amp;CPage &amp;P of &amp;N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A51"/>
  <sheetViews>
    <sheetView zoomScale="80" zoomScaleNormal="80" workbookViewId="0">
      <selection sqref="A1:XFD1048576"/>
    </sheetView>
  </sheetViews>
  <sheetFormatPr defaultColWidth="10.7109375" defaultRowHeight="12"/>
  <cols>
    <col min="1" max="1" width="29.85546875" style="1" bestFit="1" customWidth="1"/>
    <col min="2" max="2" width="9.5703125" style="1" customWidth="1"/>
    <col min="3" max="3" width="7.42578125" style="1" customWidth="1"/>
    <col min="4" max="4" width="11.28515625" style="1" customWidth="1"/>
    <col min="5" max="5" width="10.7109375" style="1" customWidth="1"/>
    <col min="6" max="6" width="21.28515625" style="1" customWidth="1"/>
    <col min="7" max="7" width="10.7109375" style="1" customWidth="1"/>
    <col min="8" max="8" width="10.5703125" style="1" customWidth="1"/>
    <col min="9" max="9" width="10.7109375" style="1" customWidth="1"/>
    <col min="10" max="10" width="13.85546875" style="1" customWidth="1"/>
    <col min="11" max="11" width="10.7109375" style="1" customWidth="1"/>
    <col min="12" max="12" width="12.5703125" style="1" customWidth="1"/>
    <col min="13" max="13" width="10.7109375" style="1" customWidth="1"/>
    <col min="14" max="14" width="18.28515625" style="1" customWidth="1"/>
    <col min="15" max="17" width="12" style="1" customWidth="1"/>
    <col min="18" max="18" width="8.28515625" style="1" customWidth="1"/>
    <col min="19" max="19" width="12" style="1" customWidth="1"/>
    <col min="20" max="21" width="10.7109375" style="1" customWidth="1"/>
    <col min="22" max="22" width="13.5703125" style="1" customWidth="1"/>
    <col min="23" max="23" width="16.140625" style="1" customWidth="1"/>
    <col min="24" max="24" width="12.85546875" style="591" customWidth="1"/>
    <col min="25" max="25" width="10.7109375" style="1" customWidth="1"/>
    <col min="26" max="16384" width="10.7109375" style="1"/>
  </cols>
  <sheetData>
    <row r="1" spans="1:27" s="317" customFormat="1" ht="56.25" customHeight="1">
      <c r="A1" s="585"/>
      <c r="B1" s="976" t="s">
        <v>349</v>
      </c>
      <c r="C1" s="977"/>
      <c r="D1" s="976" t="s">
        <v>348</v>
      </c>
      <c r="E1" s="977"/>
      <c r="F1" s="976" t="s">
        <v>120</v>
      </c>
      <c r="G1" s="977"/>
      <c r="H1" s="967" t="s">
        <v>284</v>
      </c>
      <c r="I1" s="969"/>
      <c r="J1" s="967" t="s">
        <v>54</v>
      </c>
      <c r="K1" s="969"/>
      <c r="L1" s="967" t="s">
        <v>50</v>
      </c>
      <c r="M1" s="969"/>
      <c r="N1" s="967" t="s">
        <v>119</v>
      </c>
      <c r="O1" s="968"/>
      <c r="P1" s="968"/>
      <c r="Q1" s="969"/>
      <c r="R1" s="967" t="s">
        <v>237</v>
      </c>
      <c r="S1" s="969"/>
      <c r="T1" s="970" t="s">
        <v>256</v>
      </c>
      <c r="U1" s="971"/>
      <c r="V1" s="916" t="s">
        <v>181</v>
      </c>
      <c r="W1" s="916"/>
      <c r="X1" s="916"/>
      <c r="Y1" s="916"/>
      <c r="Z1" s="890" t="s">
        <v>357</v>
      </c>
      <c r="AA1" s="890"/>
    </row>
    <row r="2" spans="1:27" s="318" customFormat="1" ht="36" customHeight="1">
      <c r="A2" s="586"/>
      <c r="B2" s="965"/>
      <c r="C2" s="966"/>
      <c r="D2" s="965"/>
      <c r="E2" s="966"/>
      <c r="F2" s="965"/>
      <c r="G2" s="966"/>
      <c r="H2" s="965"/>
      <c r="I2" s="966"/>
      <c r="J2" s="965"/>
      <c r="K2" s="966"/>
      <c r="L2" s="965"/>
      <c r="M2" s="966"/>
      <c r="N2" s="965"/>
      <c r="O2" s="966"/>
      <c r="P2" s="965"/>
      <c r="Q2" s="966"/>
      <c r="R2" s="965"/>
      <c r="S2" s="966"/>
      <c r="T2" s="965"/>
      <c r="U2" s="966"/>
      <c r="V2" s="972" t="s">
        <v>43</v>
      </c>
      <c r="W2" s="973"/>
      <c r="X2" s="974" t="s">
        <v>72</v>
      </c>
      <c r="Y2" s="975"/>
      <c r="Z2" s="888" t="s">
        <v>259</v>
      </c>
      <c r="AA2" s="888" t="s">
        <v>260</v>
      </c>
    </row>
    <row r="3" spans="1:27" s="331" customFormat="1" ht="24">
      <c r="A3" s="396"/>
      <c r="B3" s="385" t="s">
        <v>4</v>
      </c>
      <c r="C3" s="385" t="s">
        <v>94</v>
      </c>
      <c r="D3" s="385" t="s">
        <v>4</v>
      </c>
      <c r="E3" s="385" t="s">
        <v>94</v>
      </c>
      <c r="F3" s="385" t="s">
        <v>4</v>
      </c>
      <c r="G3" s="385" t="s">
        <v>94</v>
      </c>
      <c r="H3" s="385" t="s">
        <v>4</v>
      </c>
      <c r="I3" s="385" t="s">
        <v>94</v>
      </c>
      <c r="J3" s="385" t="s">
        <v>4</v>
      </c>
      <c r="K3" s="385" t="s">
        <v>94</v>
      </c>
      <c r="L3" s="385" t="s">
        <v>4</v>
      </c>
      <c r="M3" s="385" t="s">
        <v>94</v>
      </c>
      <c r="N3" s="385" t="s">
        <v>4</v>
      </c>
      <c r="O3" s="385" t="s">
        <v>234</v>
      </c>
      <c r="P3" s="385" t="s">
        <v>235</v>
      </c>
      <c r="Q3" s="385" t="s">
        <v>235</v>
      </c>
      <c r="R3" s="385" t="s">
        <v>4</v>
      </c>
      <c r="S3" s="385" t="s">
        <v>94</v>
      </c>
      <c r="T3" s="385" t="s">
        <v>4</v>
      </c>
      <c r="U3" s="385" t="s">
        <v>94</v>
      </c>
      <c r="V3" s="438" t="s">
        <v>4</v>
      </c>
      <c r="W3" s="438" t="s">
        <v>94</v>
      </c>
      <c r="X3" s="587" t="s">
        <v>112</v>
      </c>
      <c r="Y3" s="588" t="s">
        <v>94</v>
      </c>
      <c r="Z3" s="889"/>
      <c r="AA3" s="889"/>
    </row>
    <row r="4" spans="1:27" ht="18" customHeight="1">
      <c r="A4" s="502" t="s">
        <v>146</v>
      </c>
      <c r="B4" s="503"/>
      <c r="C4" s="503"/>
      <c r="D4" s="503"/>
      <c r="E4" s="503"/>
      <c r="F4" s="503"/>
      <c r="G4" s="503"/>
      <c r="H4" s="503"/>
      <c r="I4" s="503"/>
      <c r="J4" s="503"/>
      <c r="K4" s="503"/>
      <c r="L4" s="503"/>
      <c r="M4" s="503"/>
      <c r="N4" s="503"/>
      <c r="O4" s="503"/>
      <c r="P4" s="503"/>
      <c r="Q4" s="503"/>
      <c r="R4" s="503"/>
      <c r="S4" s="503"/>
      <c r="T4" s="503"/>
      <c r="U4" s="503"/>
      <c r="V4" s="503"/>
      <c r="W4" s="503"/>
      <c r="X4" s="589"/>
      <c r="Y4" s="503"/>
      <c r="Z4" s="589"/>
      <c r="AA4" s="503"/>
    </row>
    <row r="5" spans="1:27" ht="18" customHeight="1">
      <c r="A5" s="477" t="s">
        <v>154</v>
      </c>
      <c r="B5" s="393"/>
      <c r="C5" s="393"/>
      <c r="D5" s="393"/>
      <c r="E5" s="393"/>
      <c r="F5" s="393"/>
      <c r="G5" s="393"/>
      <c r="H5" s="393"/>
      <c r="I5" s="393"/>
      <c r="J5" s="328"/>
      <c r="K5" s="328"/>
      <c r="L5" s="328"/>
      <c r="M5" s="328"/>
      <c r="N5" s="328"/>
      <c r="O5" s="328"/>
      <c r="P5" s="328"/>
      <c r="Q5" s="328"/>
      <c r="R5" s="328"/>
      <c r="S5" s="328"/>
      <c r="T5" s="497">
        <v>1500</v>
      </c>
      <c r="U5" s="328">
        <f>-31.55-22.66-13.26-24.12-22.25-12.02</f>
        <v>-125.86</v>
      </c>
      <c r="V5" s="439"/>
      <c r="W5" s="439"/>
      <c r="X5" s="590">
        <f t="shared" ref="X5:Y9" si="0">T5</f>
        <v>1500</v>
      </c>
      <c r="Y5" s="707">
        <f>U5</f>
        <v>-125.86</v>
      </c>
      <c r="Z5" s="669"/>
      <c r="AA5" s="669"/>
    </row>
    <row r="6" spans="1:27" ht="18" customHeight="1">
      <c r="A6" s="477" t="s">
        <v>140</v>
      </c>
      <c r="B6" s="393"/>
      <c r="C6" s="393"/>
      <c r="D6" s="393"/>
      <c r="E6" s="393"/>
      <c r="F6" s="393"/>
      <c r="G6" s="393"/>
      <c r="H6" s="393"/>
      <c r="I6" s="393"/>
      <c r="J6" s="328"/>
      <c r="K6" s="328"/>
      <c r="L6" s="328"/>
      <c r="M6" s="328"/>
      <c r="N6" s="328"/>
      <c r="O6" s="328"/>
      <c r="P6" s="328"/>
      <c r="Q6" s="328"/>
      <c r="R6" s="328"/>
      <c r="S6" s="328"/>
      <c r="T6" s="497">
        <v>500</v>
      </c>
      <c r="U6" s="328"/>
      <c r="V6" s="439"/>
      <c r="W6" s="439"/>
      <c r="X6" s="590">
        <f t="shared" si="0"/>
        <v>500</v>
      </c>
      <c r="Y6" s="707">
        <f t="shared" si="0"/>
        <v>0</v>
      </c>
      <c r="Z6" s="669"/>
      <c r="AA6" s="669"/>
    </row>
    <row r="7" spans="1:27" ht="18" customHeight="1">
      <c r="A7" s="477" t="s">
        <v>139</v>
      </c>
      <c r="B7" s="393"/>
      <c r="C7" s="393"/>
      <c r="D7" s="393"/>
      <c r="E7" s="393"/>
      <c r="F7" s="393"/>
      <c r="G7" s="393"/>
      <c r="H7" s="393"/>
      <c r="I7" s="393"/>
      <c r="J7" s="328"/>
      <c r="K7" s="328"/>
      <c r="L7" s="328"/>
      <c r="M7" s="328"/>
      <c r="N7" s="328"/>
      <c r="O7" s="328"/>
      <c r="P7" s="328"/>
      <c r="Q7" s="328"/>
      <c r="R7" s="328"/>
      <c r="S7" s="328"/>
      <c r="T7" s="497">
        <v>800</v>
      </c>
      <c r="U7" s="328">
        <v>417.81</v>
      </c>
      <c r="V7" s="439"/>
      <c r="W7" s="439"/>
      <c r="X7" s="590">
        <f t="shared" si="0"/>
        <v>800</v>
      </c>
      <c r="Y7" s="707">
        <f t="shared" si="0"/>
        <v>417.81</v>
      </c>
      <c r="Z7" s="669"/>
      <c r="AA7" s="669"/>
    </row>
    <row r="8" spans="1:27" ht="18" customHeight="1">
      <c r="A8" s="477" t="s">
        <v>138</v>
      </c>
      <c r="B8" s="393"/>
      <c r="C8" s="393"/>
      <c r="D8" s="393"/>
      <c r="E8" s="393"/>
      <c r="F8" s="393"/>
      <c r="G8" s="393"/>
      <c r="H8" s="393"/>
      <c r="I8" s="393"/>
      <c r="J8" s="328"/>
      <c r="K8" s="328"/>
      <c r="L8" s="328"/>
      <c r="M8" s="328"/>
      <c r="N8" s="328"/>
      <c r="O8" s="328"/>
      <c r="P8" s="328"/>
      <c r="Q8" s="328"/>
      <c r="R8" s="328"/>
      <c r="S8" s="328"/>
      <c r="T8" s="497">
        <v>200</v>
      </c>
      <c r="U8" s="328"/>
      <c r="V8" s="439"/>
      <c r="W8" s="439"/>
      <c r="X8" s="707">
        <f>T8</f>
        <v>200</v>
      </c>
      <c r="Y8" s="707">
        <f t="shared" si="0"/>
        <v>0</v>
      </c>
      <c r="Z8" s="669"/>
      <c r="AA8" s="669"/>
    </row>
    <row r="9" spans="1:27" ht="18" customHeight="1">
      <c r="A9" s="477" t="s">
        <v>141</v>
      </c>
      <c r="B9" s="393"/>
      <c r="C9" s="393"/>
      <c r="D9" s="393"/>
      <c r="E9" s="393"/>
      <c r="F9" s="393"/>
      <c r="G9" s="393"/>
      <c r="H9" s="393"/>
      <c r="I9" s="393"/>
      <c r="J9" s="328"/>
      <c r="K9" s="328"/>
      <c r="L9" s="328"/>
      <c r="M9" s="328"/>
      <c r="N9" s="328"/>
      <c r="O9" s="328"/>
      <c r="P9" s="328"/>
      <c r="Q9" s="328"/>
      <c r="R9" s="328"/>
      <c r="S9" s="328"/>
      <c r="T9" s="497">
        <v>150</v>
      </c>
      <c r="U9" s="328"/>
      <c r="V9" s="439"/>
      <c r="W9" s="439"/>
      <c r="X9" s="497">
        <f t="shared" si="0"/>
        <v>150</v>
      </c>
      <c r="Y9" s="497">
        <f t="shared" si="0"/>
        <v>0</v>
      </c>
      <c r="Z9" s="669"/>
      <c r="AA9" s="669"/>
    </row>
    <row r="10" spans="1:27" ht="18" customHeight="1">
      <c r="A10" s="477" t="s">
        <v>9</v>
      </c>
      <c r="B10" s="497">
        <v>400</v>
      </c>
      <c r="C10" s="393"/>
      <c r="D10" s="497">
        <v>500</v>
      </c>
      <c r="E10" s="1">
        <v>-140.4</v>
      </c>
      <c r="F10" s="497">
        <v>2500</v>
      </c>
      <c r="G10" s="393"/>
      <c r="H10" s="393"/>
      <c r="I10" s="393"/>
      <c r="J10" s="497">
        <v>2000</v>
      </c>
      <c r="K10" s="328"/>
      <c r="L10" s="497">
        <v>800</v>
      </c>
      <c r="M10" s="328"/>
      <c r="N10" s="497">
        <f>500+5000</f>
        <v>5500</v>
      </c>
      <c r="O10" s="328"/>
      <c r="P10" s="328"/>
      <c r="Q10" s="328"/>
      <c r="R10" s="497">
        <v>45</v>
      </c>
      <c r="S10" s="328"/>
      <c r="T10" s="497">
        <v>1000</v>
      </c>
      <c r="U10" s="328">
        <f>-33.43-24.43-71.87-78.45-46.6-2.99</f>
        <v>-257.77</v>
      </c>
      <c r="V10" s="439"/>
      <c r="W10" s="439"/>
      <c r="X10" s="497">
        <f>B10+D10+F10+J10+L10+N10+T10+R10</f>
        <v>12745</v>
      </c>
      <c r="Y10" s="497">
        <f>C10+G10+K10+M10+O10+U10+S10+E10</f>
        <v>-398.16999999999996</v>
      </c>
      <c r="Z10" s="669"/>
      <c r="AA10" s="669"/>
    </row>
    <row r="11" spans="1:27" ht="18" customHeight="1">
      <c r="A11" s="477" t="s">
        <v>285</v>
      </c>
      <c r="B11" s="393"/>
      <c r="C11" s="393"/>
      <c r="D11" s="393"/>
      <c r="E11" s="393"/>
      <c r="F11" s="393"/>
      <c r="G11" s="393"/>
      <c r="H11" s="393"/>
      <c r="I11" s="393"/>
      <c r="J11" s="328"/>
      <c r="K11" s="328"/>
      <c r="L11" s="328"/>
      <c r="M11" s="328"/>
      <c r="N11" s="328"/>
      <c r="O11" s="328"/>
      <c r="P11" s="328"/>
      <c r="Q11" s="328"/>
      <c r="R11" s="328"/>
      <c r="S11" s="328"/>
      <c r="T11" s="497">
        <v>50</v>
      </c>
      <c r="U11" s="328">
        <f>-3.25-3.25-3.25-6-10</f>
        <v>-25.75</v>
      </c>
      <c r="V11" s="439"/>
      <c r="W11" s="439"/>
      <c r="X11" s="497">
        <f>T11</f>
        <v>50</v>
      </c>
      <c r="Y11" s="497">
        <f>U11</f>
        <v>-25.75</v>
      </c>
      <c r="Z11" s="669"/>
      <c r="AA11" s="669"/>
    </row>
    <row r="12" spans="1:27" ht="18" customHeight="1">
      <c r="A12" s="502" t="s">
        <v>147</v>
      </c>
      <c r="B12" s="503"/>
      <c r="C12" s="503"/>
      <c r="D12" s="503"/>
      <c r="E12" s="503"/>
      <c r="F12" s="503"/>
      <c r="G12" s="503"/>
      <c r="H12" s="503"/>
      <c r="I12" s="503"/>
      <c r="J12" s="503"/>
      <c r="K12" s="503"/>
      <c r="L12" s="503"/>
      <c r="M12" s="503"/>
      <c r="N12" s="503"/>
      <c r="O12" s="503"/>
      <c r="P12" s="503"/>
      <c r="Q12" s="503"/>
      <c r="R12" s="503"/>
      <c r="S12" s="503"/>
      <c r="T12" s="503"/>
      <c r="U12" s="503"/>
      <c r="V12" s="503"/>
      <c r="W12" s="503"/>
      <c r="X12" s="589"/>
      <c r="Y12" s="709"/>
      <c r="Z12" s="589"/>
      <c r="AA12" s="503"/>
    </row>
    <row r="13" spans="1:27" ht="18" customHeight="1">
      <c r="A13" s="477" t="s">
        <v>142</v>
      </c>
      <c r="B13" s="393"/>
      <c r="C13" s="393"/>
      <c r="D13" s="393"/>
      <c r="E13" s="393"/>
      <c r="F13" s="393"/>
      <c r="G13" s="393"/>
      <c r="H13" s="393"/>
      <c r="I13" s="393"/>
      <c r="J13" s="328"/>
      <c r="K13" s="328"/>
      <c r="L13" s="328"/>
      <c r="M13" s="328"/>
      <c r="N13" s="328"/>
      <c r="O13" s="328"/>
      <c r="P13" s="328"/>
      <c r="Q13" s="328"/>
      <c r="R13" s="328"/>
      <c r="S13" s="328"/>
      <c r="T13" s="328"/>
      <c r="U13" s="328"/>
      <c r="V13" s="439"/>
      <c r="W13" s="439"/>
      <c r="X13" s="590"/>
      <c r="Y13" s="708"/>
      <c r="Z13" s="669"/>
      <c r="AA13" s="669"/>
    </row>
    <row r="14" spans="1:27" ht="18" customHeight="1">
      <c r="A14" s="477" t="s">
        <v>143</v>
      </c>
      <c r="B14" s="393"/>
      <c r="C14" s="393"/>
      <c r="D14" s="393"/>
      <c r="E14" s="393"/>
      <c r="F14" s="393"/>
      <c r="G14" s="393"/>
      <c r="H14" s="393"/>
      <c r="I14" s="393"/>
      <c r="J14" s="328"/>
      <c r="K14" s="328"/>
      <c r="L14" s="328"/>
      <c r="M14" s="328"/>
      <c r="N14" s="328"/>
      <c r="O14" s="328"/>
      <c r="P14" s="328"/>
      <c r="Q14" s="328"/>
      <c r="R14" s="328"/>
      <c r="S14" s="328"/>
      <c r="T14" s="328"/>
      <c r="U14" s="328"/>
      <c r="V14" s="439"/>
      <c r="W14" s="439"/>
      <c r="X14" s="590"/>
      <c r="Y14" s="708"/>
      <c r="Z14" s="669"/>
      <c r="AA14" s="669"/>
    </row>
    <row r="15" spans="1:27" ht="18" customHeight="1">
      <c r="A15" s="477" t="s">
        <v>144</v>
      </c>
      <c r="B15" s="393"/>
      <c r="C15" s="393"/>
      <c r="D15" s="669">
        <v>256.29000000000002</v>
      </c>
      <c r="E15" s="393">
        <f>-169.83-16.04-70.42</f>
        <v>-256.29000000000002</v>
      </c>
      <c r="F15" s="393"/>
      <c r="G15" s="393"/>
      <c r="H15" s="393"/>
      <c r="I15" s="393"/>
      <c r="J15" s="328"/>
      <c r="K15" s="328"/>
      <c r="L15" s="328"/>
      <c r="M15" s="328"/>
      <c r="N15" s="328"/>
      <c r="O15" s="328"/>
      <c r="P15" s="328"/>
      <c r="Q15" s="328"/>
      <c r="R15" s="328"/>
      <c r="S15" s="328"/>
      <c r="T15" s="328"/>
      <c r="U15" s="328"/>
      <c r="V15" s="439"/>
      <c r="W15" s="439"/>
      <c r="X15" s="590"/>
      <c r="Y15" s="590"/>
      <c r="Z15" s="669">
        <f>D15</f>
        <v>256.29000000000002</v>
      </c>
      <c r="AA15" s="669">
        <f>E15</f>
        <v>-256.29000000000002</v>
      </c>
    </row>
    <row r="16" spans="1:27" ht="18" customHeight="1">
      <c r="A16" s="477" t="s">
        <v>145</v>
      </c>
      <c r="B16" s="393"/>
      <c r="C16" s="393"/>
      <c r="D16" s="393"/>
      <c r="E16" s="393"/>
      <c r="F16" s="393"/>
      <c r="G16" s="393"/>
      <c r="H16" s="393"/>
      <c r="I16" s="393"/>
      <c r="J16" s="328"/>
      <c r="K16" s="328"/>
      <c r="L16" s="328"/>
      <c r="M16" s="328"/>
      <c r="N16" s="328"/>
      <c r="O16" s="328"/>
      <c r="P16" s="328"/>
      <c r="Q16" s="328"/>
      <c r="R16" s="328"/>
      <c r="S16" s="328"/>
      <c r="T16" s="328"/>
      <c r="U16" s="328"/>
      <c r="V16" s="439"/>
      <c r="W16" s="439"/>
      <c r="X16" s="590"/>
      <c r="Y16" s="708"/>
      <c r="Z16" s="669"/>
      <c r="AA16" s="669"/>
    </row>
    <row r="17" spans="1:27" ht="18" customHeight="1">
      <c r="A17" s="502" t="s">
        <v>148</v>
      </c>
      <c r="B17" s="503"/>
      <c r="C17" s="503"/>
      <c r="D17" s="503"/>
      <c r="E17" s="503"/>
      <c r="F17" s="503"/>
      <c r="G17" s="503"/>
      <c r="H17" s="503"/>
      <c r="I17" s="503"/>
      <c r="J17" s="503"/>
      <c r="K17" s="503"/>
      <c r="L17" s="503"/>
      <c r="M17" s="503"/>
      <c r="N17" s="503"/>
      <c r="O17" s="503"/>
      <c r="P17" s="503"/>
      <c r="Q17" s="503"/>
      <c r="R17" s="503"/>
      <c r="S17" s="503"/>
      <c r="T17" s="503"/>
      <c r="U17" s="503"/>
      <c r="V17" s="503"/>
      <c r="W17" s="503"/>
      <c r="X17" s="589"/>
      <c r="Y17" s="709"/>
      <c r="Z17" s="589"/>
      <c r="AA17" s="503"/>
    </row>
    <row r="18" spans="1:27" ht="18" customHeight="1">
      <c r="A18" s="477" t="s">
        <v>149</v>
      </c>
      <c r="B18" s="393"/>
      <c r="C18" s="393"/>
      <c r="D18" s="393"/>
      <c r="E18" s="393"/>
      <c r="F18" s="393"/>
      <c r="G18" s="393"/>
      <c r="H18" s="393"/>
      <c r="I18" s="393"/>
      <c r="J18" s="328"/>
      <c r="K18" s="328"/>
      <c r="L18" s="328"/>
      <c r="M18" s="328"/>
      <c r="N18" s="328"/>
      <c r="O18" s="328"/>
      <c r="P18" s="328"/>
      <c r="Q18" s="328"/>
      <c r="R18" s="328"/>
      <c r="S18" s="328"/>
      <c r="T18" s="328"/>
      <c r="U18" s="328"/>
      <c r="V18" s="439"/>
      <c r="W18" s="439"/>
      <c r="X18" s="590"/>
      <c r="Y18" s="708"/>
      <c r="Z18" s="669"/>
      <c r="AA18" s="669"/>
    </row>
    <row r="19" spans="1:27" ht="18" customHeight="1">
      <c r="A19" s="477" t="s">
        <v>150</v>
      </c>
      <c r="B19" s="393"/>
      <c r="C19" s="393"/>
      <c r="D19" s="393"/>
      <c r="E19" s="393"/>
      <c r="F19" s="393"/>
      <c r="G19" s="393"/>
      <c r="H19" s="393"/>
      <c r="I19" s="393"/>
      <c r="J19" s="328"/>
      <c r="K19" s="328"/>
      <c r="L19" s="328"/>
      <c r="M19" s="328"/>
      <c r="N19" s="328"/>
      <c r="O19" s="328"/>
      <c r="P19" s="328"/>
      <c r="Q19" s="328"/>
      <c r="R19" s="328"/>
      <c r="S19" s="328"/>
      <c r="T19" s="328"/>
      <c r="U19" s="328"/>
      <c r="V19" s="439"/>
      <c r="W19" s="439"/>
      <c r="X19" s="590"/>
      <c r="Y19" s="708"/>
      <c r="Z19" s="669"/>
      <c r="AA19" s="669"/>
    </row>
    <row r="20" spans="1:27" ht="18" customHeight="1">
      <c r="A20" s="477" t="s">
        <v>151</v>
      </c>
      <c r="B20" s="497">
        <v>11.4</v>
      </c>
      <c r="C20" s="393">
        <v>-11.4</v>
      </c>
      <c r="D20" s="393"/>
      <c r="E20" s="393"/>
      <c r="F20" s="393"/>
      <c r="G20" s="393"/>
      <c r="H20" s="497">
        <v>900</v>
      </c>
      <c r="I20" s="393"/>
      <c r="J20" s="328"/>
      <c r="K20" s="328"/>
      <c r="L20" s="328"/>
      <c r="M20" s="328"/>
      <c r="N20" s="328"/>
      <c r="O20" s="328"/>
      <c r="P20" s="328"/>
      <c r="Q20" s="328"/>
      <c r="R20" s="590">
        <v>25</v>
      </c>
      <c r="S20" s="328"/>
      <c r="T20" s="328"/>
      <c r="U20" s="328"/>
      <c r="V20" s="439"/>
      <c r="W20" s="439"/>
      <c r="X20" s="497">
        <f>H20+R20+B20</f>
        <v>936.4</v>
      </c>
      <c r="Y20" s="497">
        <f>I20+S20+C20</f>
        <v>-11.4</v>
      </c>
      <c r="Z20" s="669"/>
      <c r="AA20" s="669"/>
    </row>
    <row r="21" spans="1:27" ht="18" customHeight="1">
      <c r="A21" s="477" t="s">
        <v>152</v>
      </c>
      <c r="B21" s="393"/>
      <c r="C21" s="393"/>
      <c r="D21" s="393"/>
      <c r="E21" s="393"/>
      <c r="F21" s="393"/>
      <c r="G21" s="393"/>
      <c r="H21" s="393"/>
      <c r="I21" s="393"/>
      <c r="J21" s="328"/>
      <c r="K21" s="328"/>
      <c r="L21" s="328"/>
      <c r="M21" s="328"/>
      <c r="N21" s="328"/>
      <c r="O21" s="328"/>
      <c r="P21" s="328"/>
      <c r="Q21" s="328"/>
      <c r="R21" s="328"/>
      <c r="S21" s="328"/>
      <c r="T21" s="328"/>
      <c r="U21" s="328"/>
      <c r="V21" s="439"/>
      <c r="W21" s="439"/>
      <c r="X21" s="590"/>
      <c r="Y21" s="708"/>
      <c r="Z21" s="669"/>
      <c r="AA21" s="669"/>
    </row>
    <row r="22" spans="1:27" ht="18" customHeight="1">
      <c r="A22" s="502" t="s">
        <v>153</v>
      </c>
      <c r="B22" s="503"/>
      <c r="C22" s="503"/>
      <c r="D22" s="503"/>
      <c r="E22" s="503"/>
      <c r="F22" s="503"/>
      <c r="G22" s="503"/>
      <c r="H22" s="503"/>
      <c r="I22" s="503"/>
      <c r="J22" s="503"/>
      <c r="K22" s="503"/>
      <c r="L22" s="503"/>
      <c r="M22" s="503"/>
      <c r="N22" s="503"/>
      <c r="O22" s="503"/>
      <c r="P22" s="503"/>
      <c r="Q22" s="503"/>
      <c r="R22" s="503"/>
      <c r="S22" s="503"/>
      <c r="T22" s="503"/>
      <c r="U22" s="503"/>
      <c r="V22" s="503"/>
      <c r="W22" s="503"/>
      <c r="X22" s="589"/>
      <c r="Y22" s="709"/>
      <c r="Z22" s="589"/>
      <c r="AA22" s="503"/>
    </row>
    <row r="23" spans="1:27" ht="18" customHeight="1">
      <c r="A23" s="477" t="s">
        <v>156</v>
      </c>
      <c r="B23" s="393"/>
      <c r="C23" s="393"/>
      <c r="D23" s="393"/>
      <c r="E23" s="393"/>
      <c r="F23" s="393"/>
      <c r="G23" s="393"/>
      <c r="H23" s="497">
        <v>1000</v>
      </c>
      <c r="I23" s="393"/>
      <c r="J23" s="328"/>
      <c r="K23" s="328"/>
      <c r="L23" s="328"/>
      <c r="M23" s="328"/>
      <c r="N23" s="328"/>
      <c r="O23" s="328"/>
      <c r="P23" s="328"/>
      <c r="Q23" s="328"/>
      <c r="R23" s="328"/>
      <c r="S23" s="328"/>
      <c r="T23" s="328"/>
      <c r="U23" s="328"/>
      <c r="V23" s="439"/>
      <c r="W23" s="439"/>
      <c r="X23" s="497">
        <f>H23</f>
        <v>1000</v>
      </c>
      <c r="Y23" s="497">
        <f>I23</f>
        <v>0</v>
      </c>
      <c r="Z23" s="669"/>
      <c r="AA23" s="669"/>
    </row>
    <row r="24" spans="1:27" ht="18" customHeight="1">
      <c r="A24" s="477" t="s">
        <v>129</v>
      </c>
      <c r="B24" s="393"/>
      <c r="C24" s="393"/>
      <c r="D24" s="393"/>
      <c r="E24" s="393"/>
      <c r="F24" s="393"/>
      <c r="G24" s="393"/>
      <c r="H24" s="393"/>
      <c r="I24" s="393"/>
      <c r="J24" s="328"/>
      <c r="K24" s="328"/>
      <c r="L24" s="328"/>
      <c r="M24" s="328"/>
      <c r="N24" s="328"/>
      <c r="O24" s="328"/>
      <c r="P24" s="328"/>
      <c r="Q24" s="328"/>
      <c r="R24" s="328"/>
      <c r="S24" s="328"/>
      <c r="T24" s="328"/>
      <c r="U24" s="328"/>
      <c r="V24" s="439"/>
      <c r="W24" s="439"/>
      <c r="X24" s="497"/>
      <c r="Y24" s="710"/>
      <c r="Z24" s="669"/>
      <c r="AA24" s="669"/>
    </row>
    <row r="25" spans="1:27" ht="18" customHeight="1">
      <c r="A25" s="477" t="s">
        <v>157</v>
      </c>
      <c r="B25" s="393"/>
      <c r="C25" s="393"/>
      <c r="D25" s="393"/>
      <c r="E25" s="393"/>
      <c r="F25" s="393"/>
      <c r="G25" s="393"/>
      <c r="H25" s="393"/>
      <c r="I25" s="393"/>
      <c r="J25" s="328"/>
      <c r="K25" s="328"/>
      <c r="L25" s="328"/>
      <c r="M25" s="328"/>
      <c r="N25" s="328"/>
      <c r="O25" s="328"/>
      <c r="P25" s="328"/>
      <c r="Q25" s="328"/>
      <c r="R25" s="328"/>
      <c r="S25" s="328"/>
      <c r="T25" s="328"/>
      <c r="U25" s="328"/>
      <c r="V25" s="439"/>
      <c r="W25" s="439"/>
      <c r="X25" s="497"/>
      <c r="Y25" s="710"/>
      <c r="Z25" s="669"/>
      <c r="AA25" s="669"/>
    </row>
    <row r="26" spans="1:27" ht="18" customHeight="1">
      <c r="A26" s="502" t="s">
        <v>160</v>
      </c>
      <c r="B26" s="503"/>
      <c r="C26" s="503"/>
      <c r="D26" s="503"/>
      <c r="E26" s="503"/>
      <c r="F26" s="503"/>
      <c r="G26" s="503"/>
      <c r="H26" s="503"/>
      <c r="I26" s="503"/>
      <c r="J26" s="503"/>
      <c r="K26" s="503"/>
      <c r="L26" s="503"/>
      <c r="M26" s="503"/>
      <c r="N26" s="503"/>
      <c r="O26" s="503"/>
      <c r="P26" s="503"/>
      <c r="Q26" s="503"/>
      <c r="R26" s="503"/>
      <c r="S26" s="503"/>
      <c r="T26" s="503"/>
      <c r="U26" s="503"/>
      <c r="V26" s="503"/>
      <c r="W26" s="503"/>
      <c r="X26" s="589"/>
      <c r="Y26" s="709"/>
      <c r="Z26" s="589"/>
      <c r="AA26" s="503"/>
    </row>
    <row r="27" spans="1:27" ht="18" customHeight="1">
      <c r="A27" s="477" t="s">
        <v>161</v>
      </c>
      <c r="B27" s="393"/>
      <c r="C27" s="393"/>
      <c r="D27" s="393"/>
      <c r="E27" s="393"/>
      <c r="F27" s="393"/>
      <c r="G27" s="393"/>
      <c r="H27" s="393"/>
      <c r="I27" s="393"/>
      <c r="J27" s="328"/>
      <c r="K27" s="328"/>
      <c r="L27" s="328"/>
      <c r="M27" s="328"/>
      <c r="N27" s="328"/>
      <c r="O27" s="328"/>
      <c r="P27" s="328"/>
      <c r="Q27" s="328"/>
      <c r="R27" s="328"/>
      <c r="S27" s="328"/>
      <c r="T27" s="328"/>
      <c r="U27" s="328"/>
      <c r="V27" s="439"/>
      <c r="W27" s="439"/>
      <c r="X27" s="497"/>
      <c r="Y27" s="710"/>
      <c r="Z27" s="669"/>
      <c r="AA27" s="669"/>
    </row>
    <row r="28" spans="1:27" ht="18" customHeight="1">
      <c r="A28" s="477" t="s">
        <v>162</v>
      </c>
      <c r="B28" s="393"/>
      <c r="C28" s="393"/>
      <c r="D28" s="393"/>
      <c r="E28" s="393"/>
      <c r="F28" s="393"/>
      <c r="G28" s="393"/>
      <c r="H28" s="393"/>
      <c r="I28" s="393"/>
      <c r="J28" s="327"/>
      <c r="K28" s="327"/>
      <c r="L28" s="327"/>
      <c r="M28" s="327"/>
      <c r="N28" s="327"/>
      <c r="O28" s="327"/>
      <c r="P28" s="327"/>
      <c r="Q28" s="327"/>
      <c r="R28" s="327"/>
      <c r="S28" s="327"/>
      <c r="T28" s="590">
        <v>1000</v>
      </c>
      <c r="U28" s="348"/>
      <c r="V28" s="439"/>
      <c r="W28" s="439"/>
      <c r="X28" s="779">
        <f>T28</f>
        <v>1000</v>
      </c>
      <c r="Y28" s="497">
        <f>U28</f>
        <v>0</v>
      </c>
      <c r="Z28" s="669"/>
      <c r="AA28" s="669"/>
    </row>
    <row r="29" spans="1:27" ht="18" customHeight="1">
      <c r="A29" s="477" t="s">
        <v>163</v>
      </c>
      <c r="B29" s="393"/>
      <c r="C29" s="393"/>
      <c r="D29" s="393"/>
      <c r="E29" s="393"/>
      <c r="F29" s="393"/>
      <c r="G29" s="393"/>
      <c r="H29" s="393"/>
      <c r="I29" s="393"/>
      <c r="J29" s="328"/>
      <c r="K29" s="328"/>
      <c r="L29" s="328"/>
      <c r="M29" s="328"/>
      <c r="N29" s="328"/>
      <c r="O29" s="328"/>
      <c r="P29" s="328"/>
      <c r="Q29" s="328"/>
      <c r="R29" s="328"/>
      <c r="S29" s="328"/>
      <c r="T29" s="348"/>
      <c r="U29" s="348"/>
      <c r="V29" s="439"/>
      <c r="W29" s="439"/>
      <c r="X29" s="590"/>
      <c r="Y29" s="710"/>
      <c r="Z29" s="669"/>
      <c r="AA29" s="669"/>
    </row>
    <row r="30" spans="1:27" ht="18" customHeight="1">
      <c r="A30" s="477" t="s">
        <v>164</v>
      </c>
      <c r="B30" s="393"/>
      <c r="C30" s="393"/>
      <c r="D30" s="393"/>
      <c r="E30" s="393"/>
      <c r="F30" s="393"/>
      <c r="G30" s="393"/>
      <c r="H30" s="393"/>
      <c r="I30" s="393"/>
      <c r="J30" s="328"/>
      <c r="K30" s="328"/>
      <c r="L30" s="328"/>
      <c r="M30" s="328"/>
      <c r="N30" s="328"/>
      <c r="O30" s="328"/>
      <c r="P30" s="328"/>
      <c r="Q30" s="328"/>
      <c r="R30" s="328"/>
      <c r="S30" s="328"/>
      <c r="T30" s="590">
        <v>25</v>
      </c>
      <c r="U30" s="348"/>
      <c r="V30" s="439"/>
      <c r="W30" s="439"/>
      <c r="X30" s="497">
        <f>T30</f>
        <v>25</v>
      </c>
      <c r="Y30" s="497">
        <f>U30</f>
        <v>0</v>
      </c>
      <c r="Z30" s="669"/>
      <c r="AA30" s="669"/>
    </row>
    <row r="31" spans="1:27" ht="18" customHeight="1">
      <c r="A31" s="477" t="s">
        <v>165</v>
      </c>
      <c r="B31" s="393"/>
      <c r="C31" s="393"/>
      <c r="D31" s="393"/>
      <c r="E31" s="393"/>
      <c r="F31" s="393"/>
      <c r="G31" s="393"/>
      <c r="H31" s="393"/>
      <c r="I31" s="393"/>
      <c r="J31" s="326"/>
      <c r="K31" s="326"/>
      <c r="L31" s="326"/>
      <c r="M31" s="326"/>
      <c r="N31" s="326"/>
      <c r="O31" s="326"/>
      <c r="P31" s="326"/>
      <c r="Q31" s="326"/>
      <c r="R31" s="326"/>
      <c r="S31" s="326"/>
      <c r="T31" s="348"/>
      <c r="U31" s="348"/>
      <c r="V31" s="439"/>
      <c r="W31" s="439"/>
      <c r="X31" s="590"/>
      <c r="Y31" s="710"/>
      <c r="Z31" s="669"/>
      <c r="AA31" s="669"/>
    </row>
    <row r="32" spans="1:27" ht="18" customHeight="1">
      <c r="A32" s="502" t="str">
        <f>'[2]AVP  Health'!A38</f>
        <v>Community Relations</v>
      </c>
      <c r="B32" s="503"/>
      <c r="C32" s="503"/>
      <c r="D32" s="503"/>
      <c r="E32" s="503"/>
      <c r="F32" s="503"/>
      <c r="G32" s="503"/>
      <c r="H32" s="503"/>
      <c r="I32" s="503"/>
      <c r="J32" s="503"/>
      <c r="K32" s="503"/>
      <c r="L32" s="503"/>
      <c r="M32" s="503"/>
      <c r="N32" s="503"/>
      <c r="O32" s="503"/>
      <c r="P32" s="503"/>
      <c r="Q32" s="503"/>
      <c r="R32" s="503"/>
      <c r="S32" s="503"/>
      <c r="T32" s="503"/>
      <c r="U32" s="503"/>
      <c r="V32" s="503"/>
      <c r="W32" s="503"/>
      <c r="X32" s="589"/>
      <c r="Y32" s="709"/>
      <c r="Z32" s="589"/>
      <c r="AA32" s="503"/>
    </row>
    <row r="33" spans="1:27" ht="18" customHeight="1">
      <c r="A33" s="491" t="str">
        <f>'[2]AVP  Health'!A39</f>
        <v xml:space="preserve">Moving Expenses </v>
      </c>
      <c r="B33" s="393"/>
      <c r="C33" s="393"/>
      <c r="D33" s="393"/>
      <c r="E33" s="393"/>
      <c r="F33" s="393"/>
      <c r="G33" s="393"/>
      <c r="H33" s="393"/>
      <c r="I33" s="393"/>
      <c r="J33" s="328"/>
      <c r="K33" s="328"/>
      <c r="L33" s="328"/>
      <c r="M33" s="328"/>
      <c r="N33" s="328"/>
      <c r="O33" s="328"/>
      <c r="P33" s="328"/>
      <c r="Q33" s="328"/>
      <c r="R33" s="328"/>
      <c r="S33" s="328"/>
      <c r="T33" s="348"/>
      <c r="U33" s="348"/>
      <c r="V33" s="439"/>
      <c r="W33" s="439"/>
      <c r="X33" s="497"/>
      <c r="Y33" s="710"/>
      <c r="Z33" s="669"/>
      <c r="AA33" s="669"/>
    </row>
    <row r="34" spans="1:27" ht="18" customHeight="1">
      <c r="A34" s="477" t="s">
        <v>171</v>
      </c>
      <c r="B34" s="393"/>
      <c r="C34" s="393"/>
      <c r="D34" s="497">
        <v>1.06</v>
      </c>
      <c r="E34" s="393">
        <v>-1.06</v>
      </c>
      <c r="F34" s="393"/>
      <c r="G34" s="393"/>
      <c r="H34" s="393"/>
      <c r="I34" s="393"/>
      <c r="J34" s="328"/>
      <c r="K34" s="328"/>
      <c r="L34" s="328"/>
      <c r="M34" s="328"/>
      <c r="N34" s="328"/>
      <c r="O34" s="328"/>
      <c r="P34" s="328"/>
      <c r="Q34" s="328"/>
      <c r="R34" s="590">
        <v>25</v>
      </c>
      <c r="S34" s="328"/>
      <c r="T34" s="590">
        <v>250</v>
      </c>
      <c r="U34" s="348"/>
      <c r="V34" s="439"/>
      <c r="W34" s="439"/>
      <c r="X34" s="779">
        <f>+T34+R34+D34</f>
        <v>276.06</v>
      </c>
      <c r="Y34" s="497">
        <f>E34</f>
        <v>-1.06</v>
      </c>
      <c r="Z34" s="669"/>
      <c r="AA34" s="669"/>
    </row>
    <row r="35" spans="1:27" ht="18" customHeight="1">
      <c r="A35" s="483"/>
      <c r="B35" s="393"/>
      <c r="C35" s="393"/>
      <c r="D35" s="393"/>
      <c r="E35" s="393"/>
      <c r="F35" s="393"/>
      <c r="G35" s="393"/>
      <c r="H35" s="393"/>
      <c r="I35" s="393"/>
      <c r="J35" s="328"/>
      <c r="K35" s="328"/>
      <c r="L35" s="328"/>
      <c r="M35" s="328"/>
      <c r="N35" s="328"/>
      <c r="O35" s="328"/>
      <c r="P35" s="328"/>
      <c r="Q35" s="328"/>
      <c r="R35" s="328"/>
      <c r="S35" s="328"/>
      <c r="T35" s="348"/>
      <c r="U35" s="348"/>
      <c r="V35" s="439"/>
      <c r="W35" s="439"/>
      <c r="X35" s="497"/>
      <c r="Y35" s="710"/>
      <c r="Z35" s="669"/>
      <c r="AA35" s="669"/>
    </row>
    <row r="36" spans="1:27" ht="18" customHeight="1">
      <c r="A36" s="483"/>
      <c r="B36" s="393"/>
      <c r="C36" s="393"/>
      <c r="D36" s="393"/>
      <c r="E36" s="393"/>
      <c r="F36" s="393"/>
      <c r="G36" s="393"/>
      <c r="H36" s="393"/>
      <c r="I36" s="393"/>
      <c r="J36" s="328"/>
      <c r="K36" s="328"/>
      <c r="L36" s="328"/>
      <c r="M36" s="328"/>
      <c r="N36" s="328"/>
      <c r="O36" s="328"/>
      <c r="P36" s="328"/>
      <c r="Q36" s="328"/>
      <c r="R36" s="328"/>
      <c r="S36" s="328"/>
      <c r="T36" s="348"/>
      <c r="U36" s="348"/>
      <c r="V36" s="439"/>
      <c r="W36" s="439"/>
      <c r="X36" s="590"/>
      <c r="Y36" s="498"/>
      <c r="Z36" s="669"/>
      <c r="AA36" s="669"/>
    </row>
    <row r="37" spans="1:27" ht="18" customHeight="1">
      <c r="A37" s="483"/>
      <c r="B37" s="393"/>
      <c r="C37" s="393"/>
      <c r="D37" s="393"/>
      <c r="E37" s="393"/>
      <c r="F37" s="393"/>
      <c r="G37" s="393"/>
      <c r="H37" s="393"/>
      <c r="I37" s="393"/>
      <c r="J37" s="328"/>
      <c r="K37" s="328"/>
      <c r="L37" s="328"/>
      <c r="M37" s="328"/>
      <c r="N37" s="328"/>
      <c r="O37" s="328"/>
      <c r="P37" s="328"/>
      <c r="Q37" s="328"/>
      <c r="R37" s="328"/>
      <c r="S37" s="328"/>
      <c r="T37" s="348"/>
      <c r="U37" s="348"/>
      <c r="V37" s="439"/>
      <c r="W37" s="439"/>
      <c r="X37" s="497"/>
      <c r="Y37" s="496"/>
      <c r="Z37" s="669"/>
      <c r="AA37" s="669"/>
    </row>
    <row r="38" spans="1:27" ht="18" customHeight="1">
      <c r="A38" s="483"/>
      <c r="B38" s="393"/>
      <c r="C38" s="393"/>
      <c r="D38" s="393"/>
      <c r="E38" s="393"/>
      <c r="F38" s="393"/>
      <c r="G38" s="393"/>
      <c r="H38" s="393"/>
      <c r="I38" s="393"/>
      <c r="J38" s="328"/>
      <c r="K38" s="328"/>
      <c r="L38" s="328"/>
      <c r="M38" s="328"/>
      <c r="N38" s="328"/>
      <c r="O38" s="328"/>
      <c r="P38" s="328"/>
      <c r="Q38" s="328"/>
      <c r="R38" s="328"/>
      <c r="S38" s="328"/>
      <c r="T38" s="348"/>
      <c r="U38" s="348"/>
      <c r="V38" s="439"/>
      <c r="W38" s="439"/>
      <c r="X38" s="497"/>
      <c r="Y38" s="496"/>
      <c r="Z38" s="669"/>
      <c r="AA38" s="669"/>
    </row>
    <row r="39" spans="1:27" ht="18" customHeight="1">
      <c r="A39" s="483"/>
      <c r="B39" s="393"/>
      <c r="C39" s="393"/>
      <c r="D39" s="393"/>
      <c r="E39" s="393"/>
      <c r="F39" s="393"/>
      <c r="G39" s="393"/>
      <c r="H39" s="393"/>
      <c r="I39" s="393"/>
      <c r="J39" s="328"/>
      <c r="K39" s="328"/>
      <c r="L39" s="328"/>
      <c r="M39" s="328"/>
      <c r="N39" s="328"/>
      <c r="O39" s="328"/>
      <c r="P39" s="328"/>
      <c r="Q39" s="328"/>
      <c r="R39" s="328"/>
      <c r="S39" s="328"/>
      <c r="T39" s="348"/>
      <c r="U39" s="348"/>
      <c r="V39" s="439"/>
      <c r="W39" s="439"/>
      <c r="X39" s="497"/>
      <c r="Y39" s="496"/>
      <c r="Z39" s="669"/>
      <c r="AA39" s="669"/>
    </row>
    <row r="40" spans="1:27" ht="18" customHeight="1">
      <c r="A40" s="483"/>
      <c r="B40" s="393"/>
      <c r="C40" s="393"/>
      <c r="D40" s="393"/>
      <c r="E40" s="393"/>
      <c r="F40" s="393"/>
      <c r="G40" s="393"/>
      <c r="H40" s="393"/>
      <c r="I40" s="393"/>
      <c r="J40" s="328"/>
      <c r="K40" s="328"/>
      <c r="L40" s="328"/>
      <c r="M40" s="328"/>
      <c r="N40" s="328"/>
      <c r="O40" s="328"/>
      <c r="P40" s="328"/>
      <c r="Q40" s="328"/>
      <c r="R40" s="328"/>
      <c r="S40" s="328"/>
      <c r="T40" s="348"/>
      <c r="U40" s="348"/>
      <c r="V40" s="439"/>
      <c r="W40" s="439"/>
      <c r="X40" s="590"/>
      <c r="Y40" s="498"/>
      <c r="Z40" s="669"/>
      <c r="AA40" s="669"/>
    </row>
    <row r="41" spans="1:27">
      <c r="A41" s="457" t="s">
        <v>27</v>
      </c>
      <c r="B41" s="393">
        <f>SUM(B4:B40)</f>
        <v>411.4</v>
      </c>
      <c r="C41" s="393">
        <f t="shared" ref="C41:U41" si="1">SUM(C4:C40)</f>
        <v>-11.4</v>
      </c>
      <c r="D41" s="393">
        <f t="shared" si="1"/>
        <v>757.34999999999991</v>
      </c>
      <c r="E41" s="393">
        <f>SUM(E4:E40)</f>
        <v>-397.75000000000006</v>
      </c>
      <c r="F41" s="393">
        <f t="shared" si="1"/>
        <v>2500</v>
      </c>
      <c r="G41" s="393">
        <f t="shared" si="1"/>
        <v>0</v>
      </c>
      <c r="H41" s="393">
        <f t="shared" si="1"/>
        <v>1900</v>
      </c>
      <c r="I41" s="393">
        <f t="shared" si="1"/>
        <v>0</v>
      </c>
      <c r="J41" s="393">
        <f t="shared" si="1"/>
        <v>2000</v>
      </c>
      <c r="K41" s="393">
        <f t="shared" si="1"/>
        <v>0</v>
      </c>
      <c r="L41" s="393">
        <f t="shared" si="1"/>
        <v>800</v>
      </c>
      <c r="M41" s="393">
        <f t="shared" si="1"/>
        <v>0</v>
      </c>
      <c r="N41" s="393">
        <f t="shared" si="1"/>
        <v>5500</v>
      </c>
      <c r="O41" s="393">
        <f t="shared" si="1"/>
        <v>0</v>
      </c>
      <c r="P41" s="393">
        <f t="shared" si="1"/>
        <v>0</v>
      </c>
      <c r="Q41" s="393">
        <f t="shared" si="1"/>
        <v>0</v>
      </c>
      <c r="R41" s="393">
        <f t="shared" si="1"/>
        <v>95</v>
      </c>
      <c r="S41" s="393">
        <f t="shared" si="1"/>
        <v>0</v>
      </c>
      <c r="T41" s="393">
        <f t="shared" si="1"/>
        <v>5475</v>
      </c>
      <c r="U41" s="393">
        <f t="shared" si="1"/>
        <v>8.4300000000000068</v>
      </c>
      <c r="V41" s="440">
        <f>SUM(V4:V40)</f>
        <v>0</v>
      </c>
      <c r="W41" s="440">
        <f>SUM(W14:W40)</f>
        <v>0</v>
      </c>
      <c r="X41" s="590">
        <f>SUM(X5:X40)</f>
        <v>19182.460000000003</v>
      </c>
      <c r="Y41" s="496">
        <f>SUM(Y5:Y40)</f>
        <v>-144.42999999999998</v>
      </c>
      <c r="Z41" s="669">
        <f t="shared" ref="Z41:AA41" si="2">SUM(Z5:Z40)</f>
        <v>256.29000000000002</v>
      </c>
      <c r="AA41" s="669">
        <f t="shared" si="2"/>
        <v>-256.29000000000002</v>
      </c>
    </row>
    <row r="42" spans="1:27">
      <c r="T42" s="15"/>
      <c r="U42" s="15"/>
      <c r="V42" s="15"/>
      <c r="W42" s="15"/>
      <c r="Z42" s="723"/>
      <c r="AA42" s="723"/>
    </row>
    <row r="43" spans="1:27">
      <c r="J43" s="15"/>
      <c r="K43" s="15"/>
      <c r="U43" s="15"/>
      <c r="V43" s="592">
        <f>V41+X41+Z41</f>
        <v>19438.750000000004</v>
      </c>
      <c r="W43" s="15">
        <f>U41+O41+M41+K41+I41+E41+C41+S41+P41+Q41+G41</f>
        <v>-400.72</v>
      </c>
      <c r="Y43" s="1" t="s">
        <v>344</v>
      </c>
    </row>
    <row r="44" spans="1:27">
      <c r="A44" s="446"/>
      <c r="B44" s="447"/>
      <c r="C44" s="447"/>
      <c r="D44" s="447"/>
      <c r="E44" s="447"/>
      <c r="F44" s="447"/>
      <c r="G44" s="447"/>
      <c r="H44" s="447"/>
      <c r="I44" s="447"/>
      <c r="J44" s="447"/>
      <c r="K44" s="15"/>
      <c r="V44" s="15">
        <f>B41+D41+F41+H41+J41+L41+N41+T41+R41</f>
        <v>19438.75</v>
      </c>
      <c r="W44" s="15">
        <f>W41+Y41+AA41</f>
        <v>-400.72</v>
      </c>
    </row>
    <row r="45" spans="1:27">
      <c r="A45" s="446"/>
      <c r="B45" s="447"/>
      <c r="C45" s="447"/>
      <c r="D45" s="447"/>
      <c r="E45" s="447"/>
      <c r="F45" s="447"/>
      <c r="G45" s="447"/>
      <c r="H45" s="447"/>
      <c r="I45" s="447"/>
      <c r="J45" s="447"/>
    </row>
    <row r="46" spans="1:27">
      <c r="A46" s="446"/>
      <c r="B46" s="447"/>
      <c r="C46" s="447"/>
      <c r="D46" s="447"/>
      <c r="E46" s="447"/>
      <c r="F46" s="447"/>
      <c r="G46" s="447"/>
      <c r="H46" s="447"/>
      <c r="I46" s="447"/>
      <c r="J46" s="447"/>
      <c r="V46" s="15">
        <f>V43-V44</f>
        <v>0</v>
      </c>
      <c r="W46" s="15">
        <f>W43-W44</f>
        <v>0</v>
      </c>
    </row>
    <row r="47" spans="1:27">
      <c r="A47" s="446"/>
      <c r="B47" s="447"/>
      <c r="C47" s="447"/>
      <c r="D47" s="447"/>
      <c r="E47" s="447"/>
      <c r="F47" s="447"/>
      <c r="G47" s="447"/>
      <c r="H47" s="447"/>
      <c r="I47" s="447"/>
      <c r="J47" s="447"/>
    </row>
    <row r="48" spans="1:27">
      <c r="A48" s="446"/>
      <c r="B48" s="447"/>
      <c r="C48" s="447"/>
      <c r="D48" s="447"/>
      <c r="E48" s="447"/>
      <c r="F48" s="447"/>
      <c r="G48" s="447"/>
      <c r="H48" s="447"/>
      <c r="I48" s="447"/>
      <c r="J48" s="447"/>
      <c r="T48" s="291"/>
    </row>
    <row r="49" spans="2:20">
      <c r="B49" s="447"/>
      <c r="C49" s="447"/>
      <c r="D49" s="447"/>
      <c r="E49" s="447"/>
      <c r="F49" s="447"/>
      <c r="G49" s="447"/>
      <c r="H49" s="447"/>
      <c r="I49" s="447"/>
      <c r="J49" s="447"/>
      <c r="T49" s="291"/>
    </row>
    <row r="51" spans="2:20" ht="15">
      <c r="M51" s="448"/>
    </row>
  </sheetData>
  <mergeCells count="25">
    <mergeCell ref="B1:C1"/>
    <mergeCell ref="D1:E1"/>
    <mergeCell ref="F1:G1"/>
    <mergeCell ref="H1:I1"/>
    <mergeCell ref="J1:K1"/>
    <mergeCell ref="B2:C2"/>
    <mergeCell ref="D2:E2"/>
    <mergeCell ref="F2:G2"/>
    <mergeCell ref="H2:I2"/>
    <mergeCell ref="J2:K2"/>
    <mergeCell ref="Z1:AA1"/>
    <mergeCell ref="Z2:Z3"/>
    <mergeCell ref="AA2:AA3"/>
    <mergeCell ref="L2:M2"/>
    <mergeCell ref="N2:O2"/>
    <mergeCell ref="P2:Q2"/>
    <mergeCell ref="R2:S2"/>
    <mergeCell ref="T2:U2"/>
    <mergeCell ref="N1:Q1"/>
    <mergeCell ref="T1:U1"/>
    <mergeCell ref="V1:Y1"/>
    <mergeCell ref="V2:W2"/>
    <mergeCell ref="X2:Y2"/>
    <mergeCell ref="R1:S1"/>
    <mergeCell ref="L1:M1"/>
  </mergeCells>
  <printOptions gridLines="1"/>
  <pageMargins left="0.25" right="0.25" top="0.75" bottom="0" header="0.3" footer="0.3"/>
  <pageSetup paperSize="17" scale="65" orientation="landscape" r:id="rId1"/>
  <headerFooter>
    <oddHeader xml:space="preserve">&amp;L&amp;8 4/2/19&amp;CPharmacy Projections
2019-2020
</oddHeader>
    <oddFooter>&amp;LPharmacy &amp;CPage &amp;P of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8</vt:i4>
      </vt:variant>
    </vt:vector>
  </HeadingPairs>
  <TitlesOfParts>
    <vt:vector size="19" baseType="lpstr">
      <vt:lpstr>USF Health Dev Summary </vt:lpstr>
      <vt:lpstr>AVP  Health</vt:lpstr>
      <vt:lpstr>Principal &amp; Major</vt:lpstr>
      <vt:lpstr>Communications</vt:lpstr>
      <vt:lpstr>Community Rel and Philanthropy</vt:lpstr>
      <vt:lpstr>Annual Giving</vt:lpstr>
      <vt:lpstr>COM Alumni </vt:lpstr>
      <vt:lpstr>CON </vt:lpstr>
      <vt:lpstr>COP</vt:lpstr>
      <vt:lpstr>Sponsorships</vt:lpstr>
      <vt:lpstr>Sheet1</vt:lpstr>
      <vt:lpstr>'Annual Giving'!Print_Area</vt:lpstr>
      <vt:lpstr>'AVP  Health'!Print_Area</vt:lpstr>
      <vt:lpstr>'COM Alumni '!Print_Area</vt:lpstr>
      <vt:lpstr>Communications!Print_Area</vt:lpstr>
      <vt:lpstr>'Community Rel and Philanthropy'!Print_Area</vt:lpstr>
      <vt:lpstr>'Principal &amp; Major'!Print_Area</vt:lpstr>
      <vt:lpstr>'USF Health Dev Summary '!Print_Area</vt:lpstr>
      <vt:lpstr>'COM Alumni '!Print_Titles</vt:lpstr>
    </vt:vector>
  </TitlesOfParts>
  <Company>USF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setup</dc:creator>
  <cp:lastModifiedBy>Rivera, Carolyn</cp:lastModifiedBy>
  <cp:lastPrinted>2020-03-11T17:08:03Z</cp:lastPrinted>
  <dcterms:created xsi:type="dcterms:W3CDTF">2011-03-29T15:31:33Z</dcterms:created>
  <dcterms:modified xsi:type="dcterms:W3CDTF">2020-03-17T16:00:52Z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