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ohammadmoosa/Desktop/"/>
    </mc:Choice>
  </mc:AlternateContent>
  <xr:revisionPtr revIDLastSave="0" documentId="8_{BC62A8D7-EB14-F240-A3E3-5A4E34B033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5" i="1" l="1"/>
  <c r="K45" i="1"/>
  <c r="L45" i="1"/>
  <c r="G45" i="1"/>
  <c r="H45" i="1"/>
  <c r="I45" i="1"/>
  <c r="E45" i="1"/>
  <c r="F45" i="1"/>
  <c r="D45" i="1"/>
  <c r="K44" i="1"/>
  <c r="L44" i="1"/>
  <c r="J44" i="1"/>
  <c r="H44" i="1"/>
  <c r="I44" i="1" s="1"/>
  <c r="F44" i="1"/>
  <c r="G44" i="1"/>
  <c r="E44" i="1"/>
  <c r="D44" i="1"/>
  <c r="C45" i="1"/>
  <c r="L47" i="1"/>
  <c r="H47" i="1"/>
  <c r="I47" i="1"/>
  <c r="J47" i="1"/>
  <c r="K47" i="1"/>
  <c r="F47" i="1"/>
  <c r="G47" i="1"/>
  <c r="C47" i="1"/>
  <c r="D47" i="1"/>
  <c r="E47" i="1"/>
  <c r="B47" i="1"/>
  <c r="B58" i="1"/>
  <c r="B59" i="1"/>
  <c r="L58" i="1"/>
  <c r="D57" i="1" l="1"/>
  <c r="C58" i="1" s="1"/>
  <c r="C59" i="1" s="1"/>
  <c r="E57" i="1"/>
  <c r="D58" i="1" s="1"/>
  <c r="F57" i="1"/>
  <c r="E58" i="1" s="1"/>
  <c r="G57" i="1"/>
  <c r="F58" i="1" s="1"/>
  <c r="H57" i="1"/>
  <c r="G58" i="1" s="1"/>
  <c r="I57" i="1"/>
  <c r="H58" i="1" s="1"/>
  <c r="J57" i="1"/>
  <c r="I58" i="1" s="1"/>
  <c r="K57" i="1"/>
  <c r="J58" i="1" s="1"/>
  <c r="L57" i="1"/>
  <c r="K58" i="1" s="1"/>
  <c r="C57" i="1"/>
  <c r="G48" i="1"/>
  <c r="I48" i="1"/>
  <c r="J48" i="1"/>
  <c r="L48" i="1"/>
  <c r="H48" i="1"/>
  <c r="C48" i="1"/>
  <c r="C49" i="1" s="1"/>
  <c r="L46" i="1"/>
  <c r="D46" i="1"/>
  <c r="D48" i="1" s="1"/>
  <c r="E46" i="1"/>
  <c r="F46" i="1"/>
  <c r="G46" i="1"/>
  <c r="H46" i="1"/>
  <c r="I46" i="1"/>
  <c r="J46" i="1"/>
  <c r="K46" i="1"/>
  <c r="C46" i="1"/>
  <c r="E48" i="1"/>
  <c r="F48" i="1"/>
  <c r="K48" i="1"/>
  <c r="C44" i="1"/>
  <c r="K43" i="1"/>
  <c r="L43" i="1" s="1"/>
  <c r="E43" i="1"/>
  <c r="F43" i="1" s="1"/>
  <c r="G43" i="1" s="1"/>
  <c r="H43" i="1" s="1"/>
  <c r="I43" i="1" s="1"/>
  <c r="J43" i="1" s="1"/>
  <c r="E36" i="1"/>
  <c r="B45" i="1" l="1"/>
  <c r="B43" i="1"/>
  <c r="C43" i="1" s="1"/>
  <c r="D43" i="1" s="1"/>
  <c r="E5" i="1"/>
  <c r="B16" i="1"/>
  <c r="B66" i="1" l="1"/>
  <c r="B46" i="1"/>
  <c r="E10" i="1"/>
  <c r="E37" i="1"/>
  <c r="E38" i="1" s="1"/>
  <c r="D34" i="1"/>
  <c r="D33" i="1"/>
  <c r="D32" i="1"/>
  <c r="D31" i="1"/>
  <c r="D30" i="1"/>
  <c r="D29" i="1"/>
  <c r="L36" i="1"/>
  <c r="L37" i="1" s="1"/>
  <c r="D28" i="1"/>
  <c r="D27" i="1"/>
  <c r="D26" i="1"/>
  <c r="H33" i="1"/>
  <c r="J33" i="1" s="1"/>
  <c r="D25" i="1"/>
  <c r="H32" i="1"/>
  <c r="J32" i="1" s="1"/>
  <c r="H31" i="1"/>
  <c r="J31" i="1" s="1"/>
  <c r="B7" i="1" s="1"/>
  <c r="H30" i="1"/>
  <c r="J30" i="1" s="1"/>
  <c r="H29" i="1"/>
  <c r="J29" i="1" s="1"/>
  <c r="K29" i="1" s="1"/>
  <c r="K30" i="1" s="1"/>
  <c r="D59" i="1" l="1"/>
  <c r="D66" i="1" s="1"/>
  <c r="I51" i="1"/>
  <c r="B17" i="1"/>
  <c r="B67" i="1"/>
  <c r="B68" i="1" s="1"/>
  <c r="B8" i="1"/>
  <c r="K31" i="1"/>
  <c r="K32" i="1" s="1"/>
  <c r="K33" i="1" s="1"/>
  <c r="E25" i="1"/>
  <c r="E26" i="1" s="1"/>
  <c r="E27" i="1" s="1"/>
  <c r="E28" i="1" s="1"/>
  <c r="E29" i="1" s="1"/>
  <c r="E30" i="1" s="1"/>
  <c r="E31" i="1" s="1"/>
  <c r="E32" i="1" s="1"/>
  <c r="C66" i="1"/>
  <c r="F51" i="1"/>
  <c r="J51" i="1"/>
  <c r="C51" i="1"/>
  <c r="G51" i="1"/>
  <c r="K51" i="1"/>
  <c r="D51" i="1"/>
  <c r="H51" i="1"/>
  <c r="L51" i="1"/>
  <c r="E51" i="1"/>
  <c r="E59" i="1" l="1"/>
  <c r="E66" i="1" s="1"/>
  <c r="E33" i="1"/>
  <c r="E34" i="1" s="1"/>
  <c r="B18" i="1"/>
  <c r="D49" i="1"/>
  <c r="B48" i="1"/>
  <c r="B49" i="1" s="1"/>
  <c r="B51" i="1"/>
  <c r="F59" i="1" l="1"/>
  <c r="F66" i="1" s="1"/>
  <c r="E49" i="1"/>
  <c r="C50" i="1"/>
  <c r="C52" i="1" s="1"/>
  <c r="C65" i="1" s="1"/>
  <c r="C68" i="1" s="1"/>
  <c r="B50" i="1"/>
  <c r="B52" i="1" s="1"/>
  <c r="D50" i="1"/>
  <c r="D52" i="1" s="1"/>
  <c r="D65" i="1" s="1"/>
  <c r="D68" i="1" s="1"/>
  <c r="E50" i="1" l="1"/>
  <c r="E52" i="1" s="1"/>
  <c r="E65" i="1" s="1"/>
  <c r="E68" i="1" s="1"/>
  <c r="G59" i="1"/>
  <c r="G66" i="1" s="1"/>
  <c r="H59" i="1" l="1"/>
  <c r="H66" i="1" s="1"/>
  <c r="G49" i="1"/>
  <c r="G50" i="1" s="1"/>
  <c r="G52" i="1" s="1"/>
  <c r="G65" i="1" s="1"/>
  <c r="G68" i="1" s="1"/>
  <c r="F49" i="1"/>
  <c r="F50" i="1" s="1"/>
  <c r="F52" i="1" s="1"/>
  <c r="F65" i="1" s="1"/>
  <c r="F68" i="1" s="1"/>
  <c r="H49" i="1" l="1"/>
  <c r="H50" i="1" s="1"/>
  <c r="H52" i="1" s="1"/>
  <c r="H65" i="1" s="1"/>
  <c r="H68" i="1" s="1"/>
  <c r="I59" i="1"/>
  <c r="I66" i="1" s="1"/>
  <c r="I49" i="1"/>
  <c r="I50" i="1" l="1"/>
  <c r="I52" i="1" s="1"/>
  <c r="I65" i="1" s="1"/>
  <c r="I68" i="1" s="1"/>
  <c r="L59" i="1"/>
  <c r="L66" i="1" s="1"/>
  <c r="J49" i="1"/>
  <c r="J59" i="1"/>
  <c r="J66" i="1" s="1"/>
  <c r="K59" i="1" l="1"/>
  <c r="K66" i="1" s="1"/>
  <c r="J50" i="1"/>
  <c r="J52" i="1" s="1"/>
  <c r="J65" i="1" s="1"/>
  <c r="J68" i="1" s="1"/>
  <c r="K49" i="1"/>
  <c r="K50" i="1" l="1"/>
  <c r="K52" i="1" s="1"/>
  <c r="K65" i="1" s="1"/>
  <c r="K68" i="1" s="1"/>
  <c r="L49" i="1"/>
  <c r="L50" i="1" l="1"/>
  <c r="L52" i="1" s="1"/>
  <c r="L65" i="1" s="1"/>
  <c r="L68" i="1" s="1"/>
  <c r="E72" i="1" l="1"/>
  <c r="E71" i="1" a="1"/>
  <c r="E71" i="1" s="1"/>
</calcChain>
</file>

<file path=xl/sharedStrings.xml><?xml version="1.0" encoding="utf-8"?>
<sst xmlns="http://schemas.openxmlformats.org/spreadsheetml/2006/main" count="106" uniqueCount="72">
  <si>
    <t xml:space="preserve">Total cost of equipment </t>
  </si>
  <si>
    <t xml:space="preserve">Feasability study </t>
  </si>
  <si>
    <t xml:space="preserve">DCA trip </t>
  </si>
  <si>
    <t xml:space="preserve">Year </t>
  </si>
  <si>
    <t>%</t>
  </si>
  <si>
    <t>Basis</t>
  </si>
  <si>
    <t xml:space="preserve">Depreciation </t>
  </si>
  <si>
    <t>Remaining book value</t>
  </si>
  <si>
    <t>Salvage value</t>
  </si>
  <si>
    <t xml:space="preserve">Loss </t>
  </si>
  <si>
    <t xml:space="preserve">Salvage value </t>
  </si>
  <si>
    <t xml:space="preserve">Tax loss </t>
  </si>
  <si>
    <t>Sales</t>
  </si>
  <si>
    <t>Variable</t>
  </si>
  <si>
    <t>Variable manufacturing cost %</t>
  </si>
  <si>
    <t>Sales comission %</t>
  </si>
  <si>
    <t>Sales growth year 1</t>
  </si>
  <si>
    <t xml:space="preserve">Sales growth after year 1 </t>
  </si>
  <si>
    <t xml:space="preserve">Net operating cash flow 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</si>
  <si>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</si>
  <si>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</si>
  <si>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</si>
  <si>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</si>
  <si>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</si>
  <si>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</si>
  <si>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</si>
  <si>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</si>
  <si>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</si>
  <si>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</si>
  <si>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</si>
  <si>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COGS</t>
  </si>
  <si>
    <t>Sales comission</t>
  </si>
  <si>
    <t>Depreciation</t>
  </si>
  <si>
    <t>Operating income before taxes (EBIT)</t>
  </si>
  <si>
    <t xml:space="preserve">Net operating CF </t>
  </si>
  <si>
    <t xml:space="preserve">Change in NWC </t>
  </si>
  <si>
    <t>NWC ( % of sales )</t>
  </si>
  <si>
    <t>CF due to investment in Equipment</t>
  </si>
  <si>
    <t xml:space="preserve">Operating cash flow </t>
  </si>
  <si>
    <t>Salvage value of equipment</t>
  </si>
  <si>
    <t xml:space="preserve">Net cash flow </t>
  </si>
  <si>
    <t>Old Equipment</t>
  </si>
  <si>
    <t>Initial Cost Of Old Machine</t>
  </si>
  <si>
    <t>Current Book Value</t>
  </si>
  <si>
    <t>Current Market Value</t>
  </si>
  <si>
    <t>Expected Life</t>
  </si>
  <si>
    <t>Annual Depreciation</t>
  </si>
  <si>
    <t>After Tax Salvage Value</t>
  </si>
  <si>
    <t>New Equipment</t>
  </si>
  <si>
    <t>Salvage Value</t>
  </si>
  <si>
    <t>Equipment Cost</t>
  </si>
  <si>
    <t xml:space="preserve">Marginal Tax rate </t>
  </si>
  <si>
    <t>WACC</t>
  </si>
  <si>
    <t>NWC  (20% of sales)</t>
  </si>
  <si>
    <t>Bank Loan</t>
  </si>
  <si>
    <t>Annual Interest Rate</t>
  </si>
  <si>
    <t>Installation Cost</t>
  </si>
  <si>
    <t>Salvage Value After tax</t>
  </si>
  <si>
    <t xml:space="preserve">Tax gain </t>
  </si>
  <si>
    <t>Earnings after tax (NOPAT)</t>
  </si>
  <si>
    <t>Net Present Value (NPV)</t>
  </si>
  <si>
    <t>Internal Rate of Return (IRR)</t>
  </si>
  <si>
    <t>Old Equipment Depreciation</t>
  </si>
  <si>
    <t>New Equipment Depreciation</t>
  </si>
  <si>
    <t>Other Values</t>
  </si>
  <si>
    <t>Change in Net Working Capital (NWC)</t>
  </si>
  <si>
    <t>Annual Cash Flow</t>
  </si>
  <si>
    <t xml:space="preserve">Taxes </t>
  </si>
  <si>
    <t>15 years</t>
  </si>
  <si>
    <t>10 years</t>
  </si>
  <si>
    <t>Incremental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</si>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</sst>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AED&quot;* #,##0.00_);_(&quot;AED&quot;* \(#,##0.00\);_(&quot;AED&quot;* &quot;-&quot;??_);_(@_)"/>
    <numFmt numFmtId="165" formatCode="&quot;$&quot;#,##0.00"/>
    <numFmt numFmtId="166" formatCode="[$$-409]#,##0.00_);\([$$-409]#,##0.00\)"/>
    <numFmt numFmtId="167" formatCode="[$$-409]#,##0.00"/>
    <numFmt numFmtId="168" formatCode="[$$-409]#,##0"/>
    <numFmt numFmtId="169" formatCode="&quot;$&quot;#,##0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 applyFont="1" applyAlignment="1"/>
    <xf numFmtId="166" fontId="3" fillId="0" borderId="0" xfId="1" applyNumberFormat="1" applyFont="1" applyBorder="1" applyAlignment="1">
      <alignment horizontal="center" vertical="center"/>
    </xf>
    <xf numFmtId="167" fontId="4" fillId="0" borderId="0" xfId="1" applyNumberFormat="1" applyFont="1" applyBorder="1" applyAlignment="1">
      <alignment horizontal="center" vertical="center"/>
    </xf>
    <xf numFmtId="9" fontId="3" fillId="0" borderId="0" xfId="2" applyFont="1" applyBorder="1" applyAlignment="1">
      <alignment horizontal="center" vertical="center"/>
    </xf>
    <xf numFmtId="9" fontId="3" fillId="0" borderId="0" xfId="2" applyFont="1" applyFill="1" applyBorder="1" applyAlignment="1">
      <alignment horizontal="center" vertical="center"/>
    </xf>
    <xf numFmtId="9" fontId="4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3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65" fontId="2" fillId="4" borderId="0" xfId="0" applyNumberFormat="1" applyFont="1" applyFill="1" applyBorder="1" applyAlignment="1">
      <alignment horizontal="center" vertical="center"/>
    </xf>
    <xf numFmtId="167" fontId="3" fillId="5" borderId="0" xfId="0" applyNumberFormat="1" applyFont="1" applyFill="1" applyBorder="1" applyAlignment="1">
      <alignment horizontal="center" vertical="center"/>
    </xf>
    <xf numFmtId="169" fontId="3" fillId="0" borderId="0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9" fontId="4" fillId="0" borderId="0" xfId="0" applyNumberFormat="1" applyFont="1" applyBorder="1" applyAlignment="1">
      <alignment horizontal="center" vertical="center"/>
    </xf>
    <xf numFmtId="10" fontId="3" fillId="5" borderId="0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242454</xdr:colOff>
      <xdr:row>5</xdr:row>
      <xdr:rowOff>11546</xdr:rowOff>
    </xdr:from>
    <xdr:to>
      <xdr:col>9</xdr:col>
      <xdr:colOff>1096818</xdr:colOff>
      <xdr:row>9</xdr:row>
      <xdr:rowOff>92362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D7FB0F-68EE-7746-925B-C927CE10B4A4}"/>
            </a:ext>
          </a:extLst>
        </xdr:cNvPr>
        <xdr:cNvSpPr txBox="1"/>
      </xdr:nvSpPr>
      <xdr:spPr>
        <a:xfrm>
          <a:off x="8578272" y="992910"/>
          <a:ext cx="6199910" cy="8659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Q3:</a:t>
          </a:r>
          <a:r>
            <a:rPr lang="en-US" sz="1100" b="1" baseline="0"/>
            <a:t> </a:t>
          </a:r>
          <a:r>
            <a:rPr lang="en-US" sz="1100"/>
            <a:t>When inflation increases</a:t>
          </a:r>
          <a:r>
            <a:rPr lang="en-US" sz="1100" baseline="0"/>
            <a:t> by 3%, the</a:t>
          </a:r>
          <a:r>
            <a:rPr lang="en-US" sz="1100"/>
            <a:t> cost,</a:t>
          </a:r>
          <a:r>
            <a:rPr lang="en-US" sz="1100" baseline="0"/>
            <a:t> a</a:t>
          </a:r>
          <a:r>
            <a:rPr lang="en-US" sz="1100"/>
            <a:t>ssets</a:t>
          </a:r>
          <a:r>
            <a:rPr lang="en-US" sz="1100" baseline="0"/>
            <a:t> and the </a:t>
          </a:r>
          <a:r>
            <a:rPr lang="en-US" sz="1100"/>
            <a:t>sales</a:t>
          </a:r>
          <a:r>
            <a:rPr lang="en-US" sz="1100" baseline="0"/>
            <a:t> will also increase by 3%. </a:t>
          </a:r>
        </a:p>
        <a:p>
          <a:endParaRPr lang="en-US" sz="1100" baseline="0"/>
        </a:p>
        <a:p>
          <a:r>
            <a:rPr lang="en-US" sz="1100"/>
            <a:t>WACC and</a:t>
          </a:r>
          <a:r>
            <a:rPr lang="en-US" sz="1100" baseline="0"/>
            <a:t> NPV will also increase approximately by $12M while the IRR remains the same.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5"/>
  <sheetViews>
    <sheetView tabSelected="1" zoomScale="110" zoomScaleNormal="110" workbookViewId="0">
      <selection activeCell="D44" sqref="D44"/>
    </sheetView>
  </sheetViews>
  <sheetFormatPr baseColWidth="10" defaultColWidth="14.5" defaultRowHeight="15.75" customHeight="1" x14ac:dyDescent="0.15"/>
  <cols>
    <col min="1" max="1" width="32.5" style="6" customWidth="1"/>
    <col min="2" max="3" width="14.5" style="6"/>
    <col min="4" max="4" width="24.6640625" style="6" customWidth="1"/>
    <col min="5" max="5" width="23" style="6" customWidth="1"/>
    <col min="6" max="6" width="14.5" style="6"/>
    <col min="7" max="7" width="26.5" style="6" customWidth="1"/>
    <col min="8" max="10" width="14.5" style="6"/>
    <col min="11" max="11" width="19.5" style="6" customWidth="1"/>
    <col min="12" max="16384" width="14.5" style="6"/>
  </cols>
  <sheetData>
    <row r="1" spans="1:5" ht="15.75" customHeight="1" x14ac:dyDescent="0.15">
      <c r="A1" s="33" t="s">
        <v>41</v>
      </c>
      <c r="B1" s="33"/>
      <c r="D1" s="35" t="s">
        <v>64</v>
      </c>
      <c r="E1" s="35"/>
    </row>
    <row r="2" spans="1:5" ht="15.75" customHeight="1" x14ac:dyDescent="0.15">
      <c r="A2" s="7"/>
      <c r="B2" s="7"/>
      <c r="D2" s="8"/>
      <c r="E2" s="11"/>
    </row>
    <row r="3" spans="1:5" ht="15.75" customHeight="1" x14ac:dyDescent="0.15">
      <c r="A3" s="8" t="s">
        <v>42</v>
      </c>
      <c r="B3" s="1">
        <v>225000</v>
      </c>
      <c r="D3" s="8" t="s">
        <v>51</v>
      </c>
      <c r="E3" s="3">
        <v>0.24</v>
      </c>
    </row>
    <row r="4" spans="1:5" ht="15.75" customHeight="1" x14ac:dyDescent="0.15">
      <c r="A4" s="8" t="s">
        <v>43</v>
      </c>
      <c r="B4" s="1">
        <v>150000</v>
      </c>
      <c r="D4" s="8" t="s">
        <v>52</v>
      </c>
      <c r="E4" s="4">
        <v>0.15</v>
      </c>
    </row>
    <row r="5" spans="1:5" ht="15.75" customHeight="1" x14ac:dyDescent="0.15">
      <c r="A5" s="8" t="s">
        <v>44</v>
      </c>
      <c r="B5" s="1">
        <v>130000</v>
      </c>
      <c r="D5" s="8" t="s">
        <v>53</v>
      </c>
      <c r="E5" s="14">
        <f>E8* 20%</f>
        <v>550000</v>
      </c>
    </row>
    <row r="6" spans="1:5" ht="15.75" customHeight="1" x14ac:dyDescent="0.15">
      <c r="A6" s="6" t="s">
        <v>45</v>
      </c>
      <c r="B6" s="6" t="s">
        <v>68</v>
      </c>
      <c r="D6" s="8" t="s">
        <v>54</v>
      </c>
      <c r="E6" s="2">
        <v>140000</v>
      </c>
    </row>
    <row r="7" spans="1:5" ht="15.75" customHeight="1" x14ac:dyDescent="0.15">
      <c r="A7" s="8" t="s">
        <v>46</v>
      </c>
      <c r="B7" s="1">
        <f>J31</f>
        <v>15000</v>
      </c>
      <c r="D7" s="8" t="s">
        <v>55</v>
      </c>
      <c r="E7" s="5">
        <v>7.0000000000000007E-2</v>
      </c>
    </row>
    <row r="8" spans="1:5" ht="15.75" customHeight="1" x14ac:dyDescent="0.15">
      <c r="A8" s="6" t="s">
        <v>47</v>
      </c>
      <c r="B8" s="9">
        <f>L37</f>
        <v>134800</v>
      </c>
      <c r="D8" s="8" t="s">
        <v>12</v>
      </c>
      <c r="E8" s="15">
        <v>2750000</v>
      </c>
    </row>
    <row r="9" spans="1:5" ht="15.75" customHeight="1" x14ac:dyDescent="0.15">
      <c r="D9" s="8" t="s">
        <v>13</v>
      </c>
      <c r="E9" s="15">
        <v>1760000</v>
      </c>
    </row>
    <row r="10" spans="1:5" ht="15.75" customHeight="1" x14ac:dyDescent="0.15">
      <c r="A10" s="34" t="s">
        <v>48</v>
      </c>
      <c r="B10" s="34"/>
      <c r="D10" s="8" t="s">
        <v>14</v>
      </c>
      <c r="E10" s="16">
        <f>E9/E8</f>
        <v>0.64</v>
      </c>
    </row>
    <row r="11" spans="1:5" ht="15.75" customHeight="1" x14ac:dyDescent="0.15">
      <c r="A11" s="10"/>
      <c r="B11" s="10"/>
      <c r="D11" s="8" t="s">
        <v>15</v>
      </c>
      <c r="E11" s="16">
        <v>0.02</v>
      </c>
    </row>
    <row r="12" spans="1:5" ht="15.75" customHeight="1" x14ac:dyDescent="0.15">
      <c r="A12" s="6" t="s">
        <v>49</v>
      </c>
      <c r="B12" s="2">
        <v>18000</v>
      </c>
      <c r="D12" s="8" t="s">
        <v>16</v>
      </c>
      <c r="E12" s="16">
        <v>0.08</v>
      </c>
    </row>
    <row r="13" spans="1:5" ht="15.75" customHeight="1" x14ac:dyDescent="0.15">
      <c r="A13" s="6" t="s">
        <v>45</v>
      </c>
      <c r="B13" s="6" t="s">
        <v>69</v>
      </c>
      <c r="D13" s="8" t="s">
        <v>17</v>
      </c>
      <c r="E13" s="16">
        <v>0.03</v>
      </c>
    </row>
    <row r="14" spans="1:5" ht="15.75" customHeight="1" x14ac:dyDescent="0.15">
      <c r="A14" s="8" t="s">
        <v>50</v>
      </c>
      <c r="B14" s="13">
        <v>290000</v>
      </c>
    </row>
    <row r="15" spans="1:5" ht="15.75" customHeight="1" x14ac:dyDescent="0.15">
      <c r="A15" s="8" t="s">
        <v>56</v>
      </c>
      <c r="B15" s="13">
        <v>22500</v>
      </c>
    </row>
    <row r="16" spans="1:5" ht="15.75" customHeight="1" x14ac:dyDescent="0.15">
      <c r="A16" s="8" t="s">
        <v>0</v>
      </c>
      <c r="B16" s="13">
        <f>B14+B15</f>
        <v>312500</v>
      </c>
    </row>
    <row r="17" spans="1:13" ht="15.75" customHeight="1" x14ac:dyDescent="0.15">
      <c r="A17" s="6" t="s">
        <v>46</v>
      </c>
      <c r="B17" s="12">
        <f>D25</f>
        <v>31250</v>
      </c>
    </row>
    <row r="18" spans="1:13" ht="15.75" customHeight="1" x14ac:dyDescent="0.15">
      <c r="A18" s="6" t="s">
        <v>47</v>
      </c>
      <c r="B18" s="12">
        <f>E32</f>
        <v>62500</v>
      </c>
    </row>
    <row r="19" spans="1:13" ht="15.75" customHeight="1" x14ac:dyDescent="0.15">
      <c r="A19" s="8" t="s">
        <v>1</v>
      </c>
      <c r="B19" s="13">
        <v>15400</v>
      </c>
    </row>
    <row r="20" spans="1:13" ht="15.75" customHeight="1" x14ac:dyDescent="0.15">
      <c r="A20" s="8" t="s">
        <v>2</v>
      </c>
      <c r="B20" s="13">
        <v>8600</v>
      </c>
    </row>
    <row r="21" spans="1:13" ht="15.75" customHeight="1" x14ac:dyDescent="0.15">
      <c r="A21" s="8"/>
      <c r="B21" s="13"/>
    </row>
    <row r="22" spans="1:13" ht="15.75" customHeight="1" x14ac:dyDescent="0.2">
      <c r="A22" s="36" t="s">
        <v>63</v>
      </c>
      <c r="B22" s="36"/>
      <c r="C22" s="36"/>
      <c r="D22" s="36"/>
      <c r="E22" s="36"/>
    </row>
    <row r="24" spans="1:13" ht="15.75" customHeight="1" x14ac:dyDescent="0.15">
      <c r="A24" s="24" t="s">
        <v>3</v>
      </c>
      <c r="B24" s="24" t="s">
        <v>4</v>
      </c>
      <c r="C24" s="24" t="s">
        <v>5</v>
      </c>
      <c r="D24" s="24" t="s">
        <v>6</v>
      </c>
      <c r="E24" s="24" t="s">
        <v>7</v>
      </c>
    </row>
    <row r="25" spans="1:13" ht="15.75" customHeight="1" x14ac:dyDescent="0.15">
      <c r="A25" s="23">
        <v>1</v>
      </c>
      <c r="B25" s="16">
        <v>0.1</v>
      </c>
      <c r="C25" s="13">
        <v>312500</v>
      </c>
      <c r="D25" s="13">
        <f t="shared" ref="D25:D34" si="0">C25*B25</f>
        <v>31250</v>
      </c>
      <c r="E25" s="13">
        <f>C25-D25</f>
        <v>281250</v>
      </c>
    </row>
    <row r="26" spans="1:13" ht="15.75" customHeight="1" x14ac:dyDescent="0.2">
      <c r="A26" s="23">
        <v>2</v>
      </c>
      <c r="B26" s="16">
        <v>0.1</v>
      </c>
      <c r="C26" s="13">
        <v>312500</v>
      </c>
      <c r="D26" s="13">
        <f t="shared" si="0"/>
        <v>31250</v>
      </c>
      <c r="E26" s="13">
        <f t="shared" ref="E26:E34" si="1">E25-D26</f>
        <v>250000</v>
      </c>
      <c r="G26" s="37" t="s">
        <v>62</v>
      </c>
      <c r="H26" s="37"/>
      <c r="I26" s="37"/>
      <c r="J26" s="37"/>
      <c r="K26" s="37"/>
      <c r="L26" s="37"/>
    </row>
    <row r="27" spans="1:13" ht="15.75" customHeight="1" x14ac:dyDescent="0.15">
      <c r="A27" s="23">
        <v>3</v>
      </c>
      <c r="B27" s="16">
        <v>0.1</v>
      </c>
      <c r="C27" s="13">
        <v>312500</v>
      </c>
      <c r="D27" s="13">
        <f t="shared" si="0"/>
        <v>31250</v>
      </c>
      <c r="E27" s="13">
        <f t="shared" si="1"/>
        <v>218750</v>
      </c>
    </row>
    <row r="28" spans="1:13" ht="15.75" customHeight="1" x14ac:dyDescent="0.15">
      <c r="A28" s="23">
        <v>4</v>
      </c>
      <c r="B28" s="16">
        <v>0.1</v>
      </c>
      <c r="C28" s="13">
        <v>312500</v>
      </c>
      <c r="D28" s="13">
        <f t="shared" si="0"/>
        <v>31250</v>
      </c>
      <c r="E28" s="13">
        <f t="shared" si="1"/>
        <v>187500</v>
      </c>
      <c r="G28" s="24" t="s">
        <v>3</v>
      </c>
      <c r="H28" s="24" t="s">
        <v>4</v>
      </c>
      <c r="I28" s="24" t="s">
        <v>5</v>
      </c>
      <c r="J28" s="24" t="s">
        <v>6</v>
      </c>
      <c r="K28" s="24" t="s">
        <v>7</v>
      </c>
      <c r="L28" s="24" t="s">
        <v>8</v>
      </c>
    </row>
    <row r="29" spans="1:13" ht="15.75" customHeight="1" x14ac:dyDescent="0.15">
      <c r="A29" s="23">
        <v>5</v>
      </c>
      <c r="B29" s="16">
        <v>0.1</v>
      </c>
      <c r="C29" s="13">
        <v>312500</v>
      </c>
      <c r="D29" s="13">
        <f t="shared" si="0"/>
        <v>31250</v>
      </c>
      <c r="E29" s="13">
        <f t="shared" si="1"/>
        <v>156250</v>
      </c>
      <c r="G29" s="23">
        <v>1</v>
      </c>
      <c r="H29" s="17">
        <f t="shared" ref="H29:H33" si="2">1/15</f>
        <v>6.6666666666666666E-2</v>
      </c>
      <c r="I29" s="18">
        <v>225000</v>
      </c>
      <c r="J29" s="18">
        <f t="shared" ref="J29:J33" si="3">I29*H29</f>
        <v>15000</v>
      </c>
      <c r="K29" s="18">
        <f>I29-J29</f>
        <v>210000</v>
      </c>
      <c r="L29" s="8"/>
    </row>
    <row r="30" spans="1:13" ht="15.75" customHeight="1" x14ac:dyDescent="0.15">
      <c r="A30" s="23">
        <v>6</v>
      </c>
      <c r="B30" s="16">
        <v>0.1</v>
      </c>
      <c r="C30" s="13">
        <v>312500</v>
      </c>
      <c r="D30" s="13">
        <f t="shared" si="0"/>
        <v>31250</v>
      </c>
      <c r="E30" s="13">
        <f t="shared" si="1"/>
        <v>125000</v>
      </c>
      <c r="G30" s="23">
        <v>2</v>
      </c>
      <c r="H30" s="17">
        <f t="shared" si="2"/>
        <v>6.6666666666666666E-2</v>
      </c>
      <c r="I30" s="18">
        <v>225000</v>
      </c>
      <c r="J30" s="18">
        <f t="shared" si="3"/>
        <v>15000</v>
      </c>
      <c r="K30" s="18">
        <f t="shared" ref="K30:K33" si="4">K29-J30</f>
        <v>195000</v>
      </c>
      <c r="L30" s="8"/>
    </row>
    <row r="31" spans="1:13" ht="15.75" customHeight="1" x14ac:dyDescent="0.15">
      <c r="A31" s="23">
        <v>7</v>
      </c>
      <c r="B31" s="16">
        <v>0.1</v>
      </c>
      <c r="C31" s="13">
        <v>312500</v>
      </c>
      <c r="D31" s="13">
        <f t="shared" si="0"/>
        <v>31250</v>
      </c>
      <c r="E31" s="13">
        <f t="shared" si="1"/>
        <v>93750</v>
      </c>
      <c r="G31" s="23">
        <v>3</v>
      </c>
      <c r="H31" s="17">
        <f t="shared" si="2"/>
        <v>6.6666666666666666E-2</v>
      </c>
      <c r="I31" s="18">
        <v>225000</v>
      </c>
      <c r="J31" s="18">
        <f t="shared" si="3"/>
        <v>15000</v>
      </c>
      <c r="K31" s="18">
        <f t="shared" si="4"/>
        <v>180000</v>
      </c>
      <c r="L31" s="8"/>
      <c r="M31" s="19"/>
    </row>
    <row r="32" spans="1:13" ht="15.75" customHeight="1" x14ac:dyDescent="0.15">
      <c r="A32" s="23">
        <v>8</v>
      </c>
      <c r="B32" s="16">
        <v>0.1</v>
      </c>
      <c r="C32" s="13">
        <v>312500</v>
      </c>
      <c r="D32" s="13">
        <f t="shared" si="0"/>
        <v>31250</v>
      </c>
      <c r="E32" s="13">
        <f t="shared" si="1"/>
        <v>62500</v>
      </c>
      <c r="G32" s="23">
        <v>4</v>
      </c>
      <c r="H32" s="17">
        <f t="shared" si="2"/>
        <v>6.6666666666666666E-2</v>
      </c>
      <c r="I32" s="18">
        <v>225000</v>
      </c>
      <c r="J32" s="18">
        <f t="shared" si="3"/>
        <v>15000</v>
      </c>
      <c r="K32" s="18">
        <f t="shared" si="4"/>
        <v>165000</v>
      </c>
      <c r="L32" s="8"/>
    </row>
    <row r="33" spans="1:13" ht="15.75" customHeight="1" x14ac:dyDescent="0.15">
      <c r="A33" s="23">
        <v>9</v>
      </c>
      <c r="B33" s="16">
        <v>0.1</v>
      </c>
      <c r="C33" s="13">
        <v>312500</v>
      </c>
      <c r="D33" s="13">
        <f t="shared" si="0"/>
        <v>31250</v>
      </c>
      <c r="E33" s="13">
        <f t="shared" si="1"/>
        <v>31250</v>
      </c>
      <c r="G33" s="23">
        <v>5</v>
      </c>
      <c r="H33" s="17">
        <f t="shared" si="2"/>
        <v>6.6666666666666666E-2</v>
      </c>
      <c r="I33" s="18">
        <v>225000</v>
      </c>
      <c r="J33" s="18">
        <f t="shared" si="3"/>
        <v>15000</v>
      </c>
      <c r="K33" s="18">
        <f t="shared" si="4"/>
        <v>150000</v>
      </c>
      <c r="L33" s="15">
        <v>130000</v>
      </c>
    </row>
    <row r="34" spans="1:13" ht="15.75" customHeight="1" x14ac:dyDescent="0.15">
      <c r="A34" s="23">
        <v>10</v>
      </c>
      <c r="B34" s="16">
        <v>0.1</v>
      </c>
      <c r="C34" s="13">
        <v>312500</v>
      </c>
      <c r="D34" s="13">
        <f t="shared" si="0"/>
        <v>31250</v>
      </c>
      <c r="E34" s="13">
        <f t="shared" si="1"/>
        <v>0</v>
      </c>
      <c r="G34" s="8"/>
      <c r="H34" s="17"/>
      <c r="I34" s="11"/>
      <c r="K34" s="8"/>
      <c r="L34" s="8"/>
    </row>
    <row r="35" spans="1:13" ht="15.75" customHeight="1" x14ac:dyDescent="0.15">
      <c r="G35" s="8"/>
      <c r="H35" s="17"/>
      <c r="I35" s="11"/>
      <c r="K35" s="22" t="s">
        <v>9</v>
      </c>
      <c r="L35" s="25">
        <v>-20000</v>
      </c>
    </row>
    <row r="36" spans="1:13" ht="15.75" customHeight="1" x14ac:dyDescent="0.15">
      <c r="D36" s="22" t="s">
        <v>10</v>
      </c>
      <c r="E36" s="28">
        <f>B12</f>
        <v>18000</v>
      </c>
      <c r="G36" s="8"/>
      <c r="H36" s="17"/>
      <c r="I36" s="11"/>
      <c r="K36" s="22" t="s">
        <v>58</v>
      </c>
      <c r="L36" s="25">
        <f>20000*0.24</f>
        <v>4800</v>
      </c>
    </row>
    <row r="37" spans="1:13" ht="15.75" customHeight="1" x14ac:dyDescent="0.15">
      <c r="D37" s="22" t="s">
        <v>11</v>
      </c>
      <c r="E37" s="28">
        <f>-E36*0.24</f>
        <v>-4320</v>
      </c>
      <c r="G37" s="8"/>
      <c r="H37" s="17"/>
      <c r="I37" s="11"/>
      <c r="K37" s="22" t="s">
        <v>57</v>
      </c>
      <c r="L37" s="25">
        <f>L33+L36</f>
        <v>134800</v>
      </c>
    </row>
    <row r="38" spans="1:13" ht="15.75" customHeight="1" x14ac:dyDescent="0.15">
      <c r="D38" s="22" t="s">
        <v>57</v>
      </c>
      <c r="E38" s="28">
        <f>E36+E37</f>
        <v>13680</v>
      </c>
      <c r="G38" s="8"/>
      <c r="H38" s="17"/>
      <c r="I38" s="18"/>
      <c r="J38" s="18"/>
    </row>
    <row r="39" spans="1:13" ht="15.75" customHeight="1" x14ac:dyDescent="0.15">
      <c r="G39" s="8"/>
      <c r="H39" s="17"/>
      <c r="I39" s="18"/>
      <c r="J39" s="18"/>
    </row>
    <row r="40" spans="1:13" ht="15.75" customHeight="1" x14ac:dyDescent="0.15">
      <c r="A40" s="32" t="s">
        <v>18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3" ht="15.75" customHeight="1" x14ac:dyDescent="0.15">
      <c r="G41" s="8"/>
      <c r="H41" s="17"/>
      <c r="I41" s="18"/>
      <c r="J41" s="18"/>
    </row>
    <row r="42" spans="1:13" ht="15.75" customHeight="1" x14ac:dyDescent="0.15">
      <c r="B42" s="27" t="s">
        <v>19</v>
      </c>
      <c r="C42" s="27" t="s">
        <v>20</v>
      </c>
      <c r="D42" s="27" t="s">
        <v>21</v>
      </c>
      <c r="E42" s="27" t="s">
        <v>22</v>
      </c>
      <c r="F42" s="27" t="s">
        <v>23</v>
      </c>
      <c r="G42" s="27" t="s">
        <v>24</v>
      </c>
      <c r="H42" s="27" t="s">
        <v>25</v>
      </c>
      <c r="I42" s="27" t="s">
        <v>26</v>
      </c>
      <c r="J42" s="27" t="s">
        <v>27</v>
      </c>
      <c r="K42" s="27" t="s">
        <v>28</v>
      </c>
      <c r="L42" s="27" t="s">
        <v>29</v>
      </c>
      <c r="M42" s="18"/>
    </row>
    <row r="43" spans="1:13" ht="15.75" customHeight="1" x14ac:dyDescent="0.15">
      <c r="A43" s="26" t="s">
        <v>71</v>
      </c>
      <c r="B43" s="29">
        <f>E8</f>
        <v>2750000</v>
      </c>
      <c r="C43" s="29">
        <f>B43*(1+$E$12)</f>
        <v>2970000</v>
      </c>
      <c r="D43" s="29">
        <f>C43*(1+$E$13)</f>
        <v>3059100</v>
      </c>
      <c r="E43" s="29">
        <f t="shared" ref="E43:L43" si="5">D43*(1+$E$13)</f>
        <v>3150873</v>
      </c>
      <c r="F43" s="29">
        <f t="shared" si="5"/>
        <v>3245399.19</v>
      </c>
      <c r="G43" s="29">
        <f t="shared" si="5"/>
        <v>3342761.1657000002</v>
      </c>
      <c r="H43" s="29">
        <f t="shared" si="5"/>
        <v>3443044.0006710002</v>
      </c>
      <c r="I43" s="29">
        <f t="shared" si="5"/>
        <v>3546335.3206911301</v>
      </c>
      <c r="J43" s="29">
        <f t="shared" si="5"/>
        <v>3652725.380311864</v>
      </c>
      <c r="K43" s="29">
        <f>J43*(1+$E$13)</f>
        <v>3762307.1417212198</v>
      </c>
      <c r="L43" s="29">
        <f t="shared" si="5"/>
        <v>3875176.3559728563</v>
      </c>
      <c r="M43" s="18"/>
    </row>
    <row r="44" spans="1:13" ht="15.75" customHeight="1" x14ac:dyDescent="0.15">
      <c r="A44" s="26" t="s">
        <v>70</v>
      </c>
      <c r="B44" s="6">
        <v>0</v>
      </c>
      <c r="C44" s="38">
        <f>C43-B43</f>
        <v>220000</v>
      </c>
      <c r="D44" s="38">
        <f>C44*(1+$E$13)</f>
        <v>226600</v>
      </c>
      <c r="E44" s="38">
        <f>D44*(1+$E$13)</f>
        <v>233398</v>
      </c>
      <c r="F44" s="38">
        <f>E44*(1+$E$13)</f>
        <v>240399.94</v>
      </c>
      <c r="G44" s="38">
        <f>F44*(1+$E$13)</f>
        <v>247611.9382</v>
      </c>
      <c r="H44" s="38">
        <f>G44*(1+$E$13)</f>
        <v>255040.29634600002</v>
      </c>
      <c r="I44" s="38">
        <f>H44*(1+$E$13)</f>
        <v>262691.50523638004</v>
      </c>
      <c r="J44" s="38">
        <f>I44*(1+$E$13)</f>
        <v>270572.25039347145</v>
      </c>
      <c r="K44" s="38">
        <f>J44*(1+$E$13)</f>
        <v>278689.41790527559</v>
      </c>
      <c r="L44" s="38">
        <f>K44*(1+$E$13)</f>
        <v>287050.10044243385</v>
      </c>
      <c r="M44" s="18"/>
    </row>
    <row r="45" spans="1:13" ht="15.75" customHeight="1" x14ac:dyDescent="0.15">
      <c r="A45" s="26" t="s">
        <v>30</v>
      </c>
      <c r="B45" s="29">
        <f>E9</f>
        <v>1760000</v>
      </c>
      <c r="C45" s="29">
        <f>$E$10*C44</f>
        <v>140800</v>
      </c>
      <c r="D45" s="29">
        <f>$E$10*D44</f>
        <v>145024</v>
      </c>
      <c r="E45" s="29">
        <f>$E$10*E44</f>
        <v>149374.72</v>
      </c>
      <c r="F45" s="29">
        <f>$E$10*F44</f>
        <v>153855.96160000001</v>
      </c>
      <c r="G45" s="29">
        <f>$E$10*G44</f>
        <v>158471.64044800002</v>
      </c>
      <c r="H45" s="29">
        <f>$E$10*H44</f>
        <v>163225.78966144001</v>
      </c>
      <c r="I45" s="29">
        <f>$E$10*I44</f>
        <v>168122.56335128323</v>
      </c>
      <c r="J45" s="29">
        <f>$E$10*J44</f>
        <v>173166.24025182173</v>
      </c>
      <c r="K45" s="29">
        <f>$E$10*K44</f>
        <v>178361.22745937639</v>
      </c>
      <c r="L45" s="29">
        <f>$E$10*L44</f>
        <v>183712.06428315767</v>
      </c>
      <c r="M45" s="18"/>
    </row>
    <row r="46" spans="1:13" ht="15.75" customHeight="1" x14ac:dyDescent="0.15">
      <c r="A46" s="26" t="s">
        <v>31</v>
      </c>
      <c r="B46" s="29">
        <f>$E$11*B43</f>
        <v>55000</v>
      </c>
      <c r="C46" s="29">
        <f>$E$11*C44</f>
        <v>4400</v>
      </c>
      <c r="D46" s="29">
        <f t="shared" ref="D46:K46" si="6">$E$11*D44</f>
        <v>4532</v>
      </c>
      <c r="E46" s="29">
        <f t="shared" si="6"/>
        <v>4667.96</v>
      </c>
      <c r="F46" s="29">
        <f t="shared" si="6"/>
        <v>4807.9988000000003</v>
      </c>
      <c r="G46" s="29">
        <f t="shared" si="6"/>
        <v>4952.2387640000006</v>
      </c>
      <c r="H46" s="29">
        <f t="shared" si="6"/>
        <v>5100.8059269200003</v>
      </c>
      <c r="I46" s="29">
        <f t="shared" si="6"/>
        <v>5253.8301047276009</v>
      </c>
      <c r="J46" s="29">
        <f t="shared" si="6"/>
        <v>5411.445007869429</v>
      </c>
      <c r="K46" s="29">
        <f t="shared" si="6"/>
        <v>5573.7883581055121</v>
      </c>
      <c r="L46" s="29">
        <f>$E$11*L44</f>
        <v>5741.0020088486772</v>
      </c>
      <c r="M46" s="18"/>
    </row>
    <row r="47" spans="1:13" ht="15.75" customHeight="1" x14ac:dyDescent="0.15">
      <c r="A47" s="26" t="s">
        <v>32</v>
      </c>
      <c r="B47" s="29">
        <f>31250-15000</f>
        <v>16250</v>
      </c>
      <c r="C47" s="29">
        <f t="shared" ref="C47:K47" si="7">31250-15000</f>
        <v>16250</v>
      </c>
      <c r="D47" s="29">
        <f t="shared" si="7"/>
        <v>16250</v>
      </c>
      <c r="E47" s="29">
        <f t="shared" si="7"/>
        <v>16250</v>
      </c>
      <c r="F47" s="29">
        <f>31250-15000</f>
        <v>16250</v>
      </c>
      <c r="G47" s="29">
        <f t="shared" si="7"/>
        <v>16250</v>
      </c>
      <c r="H47" s="29">
        <f>31250-15000</f>
        <v>16250</v>
      </c>
      <c r="I47" s="29">
        <f t="shared" si="7"/>
        <v>16250</v>
      </c>
      <c r="J47" s="29">
        <f t="shared" si="7"/>
        <v>16250</v>
      </c>
      <c r="K47" s="29">
        <f t="shared" si="7"/>
        <v>16250</v>
      </c>
      <c r="L47" s="29">
        <f>31250-15000</f>
        <v>16250</v>
      </c>
      <c r="M47" s="18"/>
    </row>
    <row r="48" spans="1:13" ht="15.75" customHeight="1" x14ac:dyDescent="0.15">
      <c r="A48" s="26" t="s">
        <v>33</v>
      </c>
      <c r="B48" s="29">
        <f>B43-B45-B47</f>
        <v>973750</v>
      </c>
      <c r="C48" s="29">
        <f>C44-C45-C46-C47</f>
        <v>58550</v>
      </c>
      <c r="D48" s="29">
        <f t="shared" ref="D48:K48" si="8">D44-D45-D46-D47</f>
        <v>60794</v>
      </c>
      <c r="E48" s="29">
        <f t="shared" si="8"/>
        <v>63105.319999999992</v>
      </c>
      <c r="F48" s="29">
        <f t="shared" si="8"/>
        <v>65485.979599999991</v>
      </c>
      <c r="G48" s="29">
        <f t="shared" si="8"/>
        <v>67938.05898799999</v>
      </c>
      <c r="H48" s="29">
        <f t="shared" si="8"/>
        <v>70463.700757640006</v>
      </c>
      <c r="I48" s="29">
        <f t="shared" si="8"/>
        <v>73065.111780369203</v>
      </c>
      <c r="J48" s="29">
        <f t="shared" si="8"/>
        <v>75744.565133780285</v>
      </c>
      <c r="K48" s="29">
        <f t="shared" si="8"/>
        <v>78504.4020877937</v>
      </c>
      <c r="L48" s="29">
        <f>L44-L45-L46-L47</f>
        <v>81347.034150427498</v>
      </c>
      <c r="M48" s="18"/>
    </row>
    <row r="49" spans="1:13" ht="15.75" customHeight="1" x14ac:dyDescent="0.15">
      <c r="A49" s="26" t="s">
        <v>67</v>
      </c>
      <c r="B49" s="29">
        <f>B48*E3</f>
        <v>233700</v>
      </c>
      <c r="C49" s="29">
        <f>C48*E3</f>
        <v>14052</v>
      </c>
      <c r="D49" s="18">
        <f>D48*E3</f>
        <v>14590.56</v>
      </c>
      <c r="E49" s="18">
        <f>E48*E3</f>
        <v>15145.276799999998</v>
      </c>
      <c r="F49" s="18">
        <f>F48*E3</f>
        <v>15716.635103999997</v>
      </c>
      <c r="G49" s="18">
        <f>G48*E3</f>
        <v>16305.134157119997</v>
      </c>
      <c r="H49" s="18">
        <f>H48*E3</f>
        <v>16911.288181833603</v>
      </c>
      <c r="I49" s="18">
        <f>I48*E3</f>
        <v>17535.626827288608</v>
      </c>
      <c r="J49" s="18">
        <f>J48*E3</f>
        <v>18178.695632107268</v>
      </c>
      <c r="K49" s="18">
        <f>K48*E3</f>
        <v>18841.056501070489</v>
      </c>
      <c r="L49" s="18">
        <f>L48*E3</f>
        <v>19523.2881961026</v>
      </c>
      <c r="M49" s="18"/>
    </row>
    <row r="50" spans="1:13" ht="15" x14ac:dyDescent="0.15">
      <c r="A50" s="26" t="s">
        <v>59</v>
      </c>
      <c r="B50" s="29">
        <f t="shared" ref="B50:L50" si="9">B48-B49</f>
        <v>740050</v>
      </c>
      <c r="C50" s="29">
        <f t="shared" si="9"/>
        <v>44498</v>
      </c>
      <c r="D50" s="18">
        <f t="shared" si="9"/>
        <v>46203.44</v>
      </c>
      <c r="E50" s="18">
        <f t="shared" si="9"/>
        <v>47960.043199999993</v>
      </c>
      <c r="F50" s="18">
        <f t="shared" si="9"/>
        <v>49769.344495999991</v>
      </c>
      <c r="G50" s="18">
        <f t="shared" si="9"/>
        <v>51632.924830879994</v>
      </c>
      <c r="H50" s="18">
        <f t="shared" si="9"/>
        <v>53552.412575806404</v>
      </c>
      <c r="I50" s="18">
        <f t="shared" si="9"/>
        <v>55529.484953080595</v>
      </c>
      <c r="J50" s="18">
        <f t="shared" si="9"/>
        <v>57565.86950167302</v>
      </c>
      <c r="K50" s="18">
        <f t="shared" si="9"/>
        <v>59663.345586723211</v>
      </c>
      <c r="L50" s="18">
        <f t="shared" si="9"/>
        <v>61823.745954324899</v>
      </c>
      <c r="M50" s="18"/>
    </row>
    <row r="51" spans="1:13" ht="15" x14ac:dyDescent="0.15">
      <c r="A51" s="26" t="s">
        <v>32</v>
      </c>
      <c r="B51" s="29">
        <f t="shared" ref="B51:L51" si="10">B47</f>
        <v>16250</v>
      </c>
      <c r="C51" s="29">
        <f t="shared" si="10"/>
        <v>16250</v>
      </c>
      <c r="D51" s="29">
        <f t="shared" si="10"/>
        <v>16250</v>
      </c>
      <c r="E51" s="29">
        <f t="shared" si="10"/>
        <v>16250</v>
      </c>
      <c r="F51" s="29">
        <f t="shared" si="10"/>
        <v>16250</v>
      </c>
      <c r="G51" s="29">
        <f t="shared" si="10"/>
        <v>16250</v>
      </c>
      <c r="H51" s="29">
        <f t="shared" si="10"/>
        <v>16250</v>
      </c>
      <c r="I51" s="29">
        <f t="shared" si="10"/>
        <v>16250</v>
      </c>
      <c r="J51" s="29">
        <f t="shared" si="10"/>
        <v>16250</v>
      </c>
      <c r="K51" s="29">
        <f t="shared" si="10"/>
        <v>16250</v>
      </c>
      <c r="L51" s="29">
        <f t="shared" si="10"/>
        <v>16250</v>
      </c>
      <c r="M51" s="18"/>
    </row>
    <row r="52" spans="1:13" ht="15" x14ac:dyDescent="0.15">
      <c r="A52" s="26" t="s">
        <v>34</v>
      </c>
      <c r="B52" s="29">
        <f t="shared" ref="B52:L52" si="11">B50+B51</f>
        <v>756300</v>
      </c>
      <c r="C52" s="29">
        <f t="shared" si="11"/>
        <v>60748</v>
      </c>
      <c r="D52" s="18">
        <f t="shared" si="11"/>
        <v>62453.440000000002</v>
      </c>
      <c r="E52" s="18">
        <f t="shared" si="11"/>
        <v>64210.043199999993</v>
      </c>
      <c r="F52" s="18">
        <f t="shared" si="11"/>
        <v>66019.344495999991</v>
      </c>
      <c r="G52" s="18">
        <f t="shared" si="11"/>
        <v>67882.924830879987</v>
      </c>
      <c r="H52" s="18">
        <f t="shared" si="11"/>
        <v>69802.412575806404</v>
      </c>
      <c r="I52" s="18">
        <f t="shared" si="11"/>
        <v>71779.484953080595</v>
      </c>
      <c r="J52" s="18">
        <f t="shared" si="11"/>
        <v>73815.86950167302</v>
      </c>
      <c r="K52" s="18">
        <f t="shared" si="11"/>
        <v>75913.345586723211</v>
      </c>
      <c r="L52" s="18">
        <f t="shared" si="11"/>
        <v>78073.745954324899</v>
      </c>
      <c r="M52" s="18"/>
    </row>
    <row r="54" spans="1:13" ht="15.75" customHeight="1" x14ac:dyDescent="0.15">
      <c r="A54" s="31" t="s">
        <v>65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1:13" ht="15" x14ac:dyDescent="0.15">
      <c r="A55" s="21"/>
    </row>
    <row r="56" spans="1:13" ht="15" x14ac:dyDescent="0.15">
      <c r="A56" s="21"/>
      <c r="B56" s="27" t="s">
        <v>19</v>
      </c>
      <c r="C56" s="27" t="s">
        <v>20</v>
      </c>
      <c r="D56" s="27" t="s">
        <v>21</v>
      </c>
      <c r="E56" s="27" t="s">
        <v>22</v>
      </c>
      <c r="F56" s="27" t="s">
        <v>23</v>
      </c>
      <c r="G56" s="27" t="s">
        <v>24</v>
      </c>
      <c r="H56" s="27" t="s">
        <v>25</v>
      </c>
      <c r="I56" s="27" t="s">
        <v>26</v>
      </c>
      <c r="J56" s="27" t="s">
        <v>27</v>
      </c>
      <c r="K56" s="27" t="s">
        <v>28</v>
      </c>
      <c r="L56" s="27" t="s">
        <v>29</v>
      </c>
    </row>
    <row r="57" spans="1:13" ht="15" x14ac:dyDescent="0.15">
      <c r="A57" s="26" t="s">
        <v>70</v>
      </c>
      <c r="B57" s="18"/>
      <c r="C57" s="18">
        <f>C44</f>
        <v>220000</v>
      </c>
      <c r="D57" s="18">
        <f t="shared" ref="D57:L57" si="12">D44</f>
        <v>226600</v>
      </c>
      <c r="E57" s="18">
        <f t="shared" si="12"/>
        <v>233398</v>
      </c>
      <c r="F57" s="18">
        <f t="shared" si="12"/>
        <v>240399.94</v>
      </c>
      <c r="G57" s="18">
        <f t="shared" si="12"/>
        <v>247611.9382</v>
      </c>
      <c r="H57" s="18">
        <f t="shared" si="12"/>
        <v>255040.29634600002</v>
      </c>
      <c r="I57" s="18">
        <f t="shared" si="12"/>
        <v>262691.50523638004</v>
      </c>
      <c r="J57" s="18">
        <f t="shared" si="12"/>
        <v>270572.25039347145</v>
      </c>
      <c r="K57" s="18">
        <f t="shared" si="12"/>
        <v>278689.41790527559</v>
      </c>
      <c r="L57" s="18">
        <f t="shared" si="12"/>
        <v>287050.10044243385</v>
      </c>
    </row>
    <row r="58" spans="1:13" ht="15" x14ac:dyDescent="0.15">
      <c r="A58" s="26" t="s">
        <v>36</v>
      </c>
      <c r="B58" s="18">
        <f>0.2*C57</f>
        <v>44000</v>
      </c>
      <c r="C58" s="18">
        <f t="shared" ref="C58:L58" si="13">0.2*D57</f>
        <v>45320</v>
      </c>
      <c r="D58" s="18">
        <f t="shared" si="13"/>
        <v>46679.600000000006</v>
      </c>
      <c r="E58" s="18">
        <f t="shared" si="13"/>
        <v>48079.988000000005</v>
      </c>
      <c r="F58" s="18">
        <f t="shared" si="13"/>
        <v>49522.387640000001</v>
      </c>
      <c r="G58" s="18">
        <f t="shared" si="13"/>
        <v>51008.059269200006</v>
      </c>
      <c r="H58" s="18">
        <f>0.2*I57</f>
        <v>52538.301047276007</v>
      </c>
      <c r="I58" s="18">
        <f t="shared" si="13"/>
        <v>54114.450078694295</v>
      </c>
      <c r="J58" s="18">
        <f>0.2*K57</f>
        <v>55737.883581055125</v>
      </c>
      <c r="K58" s="18">
        <f t="shared" si="13"/>
        <v>57410.020088486774</v>
      </c>
      <c r="L58" s="18">
        <f t="shared" si="13"/>
        <v>0</v>
      </c>
    </row>
    <row r="59" spans="1:13" ht="15" x14ac:dyDescent="0.15">
      <c r="A59" s="26" t="s">
        <v>35</v>
      </c>
      <c r="B59" s="18">
        <f>-B58</f>
        <v>-44000</v>
      </c>
      <c r="C59" s="18">
        <f t="shared" ref="C59:L59" si="14">B58-C58</f>
        <v>-1320</v>
      </c>
      <c r="D59" s="18">
        <f t="shared" si="14"/>
        <v>-1359.6000000000058</v>
      </c>
      <c r="E59" s="18">
        <f t="shared" si="14"/>
        <v>-1400.387999999999</v>
      </c>
      <c r="F59" s="18">
        <f t="shared" si="14"/>
        <v>-1442.399639999996</v>
      </c>
      <c r="G59" s="18">
        <f t="shared" si="14"/>
        <v>-1485.6716292000056</v>
      </c>
      <c r="H59" s="18">
        <f t="shared" si="14"/>
        <v>-1530.2417780760006</v>
      </c>
      <c r="I59" s="18">
        <f t="shared" si="14"/>
        <v>-1576.1490314182884</v>
      </c>
      <c r="J59" s="18">
        <f t="shared" si="14"/>
        <v>-1623.4335023608292</v>
      </c>
      <c r="K59" s="18">
        <f t="shared" si="14"/>
        <v>-1672.1365074316491</v>
      </c>
      <c r="L59" s="18">
        <f t="shared" si="14"/>
        <v>57410.020088486774</v>
      </c>
    </row>
    <row r="61" spans="1:13" ht="15.75" customHeight="1" x14ac:dyDescent="0.15">
      <c r="A61" s="32" t="s">
        <v>66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spans="1:13" ht="15" x14ac:dyDescent="0.15">
      <c r="A62" s="21"/>
    </row>
    <row r="63" spans="1:13" ht="15" x14ac:dyDescent="0.15">
      <c r="B63" s="27" t="s">
        <v>19</v>
      </c>
      <c r="C63" s="27" t="s">
        <v>20</v>
      </c>
      <c r="D63" s="27" t="s">
        <v>21</v>
      </c>
      <c r="E63" s="27" t="s">
        <v>22</v>
      </c>
      <c r="F63" s="27" t="s">
        <v>23</v>
      </c>
      <c r="G63" s="27" t="s">
        <v>24</v>
      </c>
      <c r="H63" s="27" t="s">
        <v>25</v>
      </c>
      <c r="I63" s="27" t="s">
        <v>26</v>
      </c>
      <c r="J63" s="27" t="s">
        <v>27</v>
      </c>
      <c r="K63" s="27" t="s">
        <v>28</v>
      </c>
      <c r="L63" s="27" t="s">
        <v>29</v>
      </c>
    </row>
    <row r="64" spans="1:13" ht="15" x14ac:dyDescent="0.15">
      <c r="A64" s="26" t="s">
        <v>37</v>
      </c>
      <c r="B64" s="30">
        <v>-312500</v>
      </c>
      <c r="C64" s="12"/>
      <c r="D64" s="12"/>
      <c r="E64" s="12"/>
      <c r="F64" s="12"/>
      <c r="G64" s="13"/>
      <c r="H64" s="12"/>
      <c r="I64" s="12"/>
      <c r="J64" s="12"/>
      <c r="K64" s="12"/>
      <c r="L64" s="12"/>
    </row>
    <row r="65" spans="1:12" ht="15" x14ac:dyDescent="0.15">
      <c r="A65" s="26" t="s">
        <v>38</v>
      </c>
      <c r="B65" s="12"/>
      <c r="C65" s="13">
        <f t="shared" ref="C65:L65" si="15">C52</f>
        <v>60748</v>
      </c>
      <c r="D65" s="13">
        <f t="shared" si="15"/>
        <v>62453.440000000002</v>
      </c>
      <c r="E65" s="13">
        <f t="shared" si="15"/>
        <v>64210.043199999993</v>
      </c>
      <c r="F65" s="13">
        <f t="shared" si="15"/>
        <v>66019.344495999991</v>
      </c>
      <c r="G65" s="13">
        <f t="shared" si="15"/>
        <v>67882.924830879987</v>
      </c>
      <c r="H65" s="13">
        <f t="shared" si="15"/>
        <v>69802.412575806404</v>
      </c>
      <c r="I65" s="13">
        <f t="shared" si="15"/>
        <v>71779.484953080595</v>
      </c>
      <c r="J65" s="13">
        <f t="shared" si="15"/>
        <v>73815.86950167302</v>
      </c>
      <c r="K65" s="13">
        <f t="shared" si="15"/>
        <v>75913.345586723211</v>
      </c>
      <c r="L65" s="13">
        <f t="shared" si="15"/>
        <v>78073.745954324899</v>
      </c>
    </row>
    <row r="66" spans="1:12" ht="15" x14ac:dyDescent="0.15">
      <c r="A66" s="26" t="s">
        <v>35</v>
      </c>
      <c r="B66" s="13">
        <f t="shared" ref="B66:L66" si="16">B59</f>
        <v>-44000</v>
      </c>
      <c r="C66" s="13">
        <f t="shared" si="16"/>
        <v>-1320</v>
      </c>
      <c r="D66" s="13">
        <f t="shared" si="16"/>
        <v>-1359.6000000000058</v>
      </c>
      <c r="E66" s="13">
        <f t="shared" si="16"/>
        <v>-1400.387999999999</v>
      </c>
      <c r="F66" s="13">
        <f t="shared" si="16"/>
        <v>-1442.399639999996</v>
      </c>
      <c r="G66" s="13">
        <f t="shared" si="16"/>
        <v>-1485.6716292000056</v>
      </c>
      <c r="H66" s="13">
        <f t="shared" si="16"/>
        <v>-1530.2417780760006</v>
      </c>
      <c r="I66" s="13">
        <f t="shared" si="16"/>
        <v>-1576.1490314182884</v>
      </c>
      <c r="J66" s="13">
        <f t="shared" si="16"/>
        <v>-1623.4335023608292</v>
      </c>
      <c r="K66" s="13">
        <f t="shared" si="16"/>
        <v>-1672.1365074316491</v>
      </c>
      <c r="L66" s="13">
        <f t="shared" si="16"/>
        <v>57410.020088486774</v>
      </c>
    </row>
    <row r="67" spans="1:12" ht="15" x14ac:dyDescent="0.15">
      <c r="A67" s="26" t="s">
        <v>39</v>
      </c>
      <c r="B67" s="13">
        <f>L37</f>
        <v>134800</v>
      </c>
      <c r="C67" s="12"/>
      <c r="D67" s="12"/>
      <c r="E67" s="12"/>
      <c r="F67" s="12"/>
      <c r="G67" s="13"/>
      <c r="H67" s="12"/>
      <c r="I67" s="12"/>
      <c r="J67" s="12"/>
      <c r="K67" s="12"/>
      <c r="L67" s="15">
        <v>13680</v>
      </c>
    </row>
    <row r="68" spans="1:12" ht="15" x14ac:dyDescent="0.15">
      <c r="A68" s="26" t="s">
        <v>40</v>
      </c>
      <c r="B68" s="13">
        <f t="shared" ref="B68:L68" si="17">SUM(B64:B67)</f>
        <v>-221700</v>
      </c>
      <c r="C68" s="13">
        <f>SUM(C64:C67)</f>
        <v>59428</v>
      </c>
      <c r="D68" s="13">
        <f t="shared" si="17"/>
        <v>61093.84</v>
      </c>
      <c r="E68" s="13">
        <f t="shared" si="17"/>
        <v>62809.655199999994</v>
      </c>
      <c r="F68" s="13">
        <f t="shared" si="17"/>
        <v>64576.944855999995</v>
      </c>
      <c r="G68" s="13">
        <f t="shared" si="17"/>
        <v>66397.253201679981</v>
      </c>
      <c r="H68" s="13">
        <f t="shared" si="17"/>
        <v>68272.170797730403</v>
      </c>
      <c r="I68" s="13">
        <f t="shared" si="17"/>
        <v>70203.335921662307</v>
      </c>
      <c r="J68" s="13">
        <f t="shared" si="17"/>
        <v>72192.435999312191</v>
      </c>
      <c r="K68" s="13">
        <f t="shared" si="17"/>
        <v>74241.209079291555</v>
      </c>
      <c r="L68" s="13">
        <f t="shared" si="17"/>
        <v>149163.76604281168</v>
      </c>
    </row>
    <row r="69" spans="1:12" ht="15" x14ac:dyDescent="0.15"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15.75" customHeight="1" x14ac:dyDescent="0.1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15" x14ac:dyDescent="0.15">
      <c r="C71" s="12"/>
      <c r="D71" s="26" t="s">
        <v>60</v>
      </c>
      <c r="E71" s="28">
        <f t="array" ref="E71">NPV(15%,C68:L68)+B68</f>
        <v>124886.65719810792</v>
      </c>
      <c r="G71" s="12"/>
      <c r="H71" s="12"/>
      <c r="I71" s="12"/>
      <c r="J71" s="12"/>
      <c r="K71" s="12"/>
      <c r="L71" s="12"/>
    </row>
    <row r="72" spans="1:12" ht="15" x14ac:dyDescent="0.15">
      <c r="D72" s="26" t="s">
        <v>61</v>
      </c>
      <c r="E72" s="39">
        <f>IRR(B68:L68)</f>
        <v>0.27137099620493865</v>
      </c>
    </row>
    <row r="76" spans="1:12" ht="15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 ht="15" x14ac:dyDescent="0.15">
      <c r="B77" s="18"/>
    </row>
    <row r="78" spans="1:12" ht="15" x14ac:dyDescent="0.15">
      <c r="B78" s="18"/>
    </row>
    <row r="79" spans="1:12" ht="15" x14ac:dyDescent="0.15">
      <c r="B79" s="18"/>
    </row>
    <row r="80" spans="1:12" ht="15" x14ac:dyDescent="0.15">
      <c r="B80" s="18"/>
    </row>
    <row r="81" spans="2:2" ht="15" x14ac:dyDescent="0.15">
      <c r="B81" s="18"/>
    </row>
    <row r="82" spans="2:2" ht="15" x14ac:dyDescent="0.15">
      <c r="B82" s="18"/>
    </row>
    <row r="83" spans="2:2" ht="15" x14ac:dyDescent="0.15">
      <c r="B83" s="18"/>
    </row>
    <row r="84" spans="2:2" ht="15" x14ac:dyDescent="0.15">
      <c r="B84" s="18"/>
    </row>
    <row r="85" spans="2:2" ht="15" x14ac:dyDescent="0.15">
      <c r="B85" s="18"/>
    </row>
  </sheetData>
  <mergeCells count="8">
    <mergeCell ref="A54:L54"/>
    <mergeCell ref="A61:L61"/>
    <mergeCell ref="A1:B1"/>
    <mergeCell ref="A10:B10"/>
    <mergeCell ref="D1:E1"/>
    <mergeCell ref="A22:E22"/>
    <mergeCell ref="G26:L26"/>
    <mergeCell ref="A40:L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2022-03-22T11:42:35Z</dcterms:created>
  <dcterms:modified xsi:type="dcterms:W3CDTF">2022-03-22T11:42:35Z</dcterms:modified>
</cp:coreProperties>
</file>