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codeName="ThisWorkbook"/>
  <mc:AlternateContent xmlns:mc="http://schemas.openxmlformats.org/markup-compatibility/2006">
    <mc:Choice Requires="x15">
      <x15ac:absPath xmlns:x15ac="http://schemas.microsoft.com/office/spreadsheetml/2010/11/ac" url="/Users/theju/Desktop/"/>
    </mc:Choice>
  </mc:AlternateContent>
  <xr:revisionPtr revIDLastSave="0" documentId="13_ncr:1_{7693A8E2-0CA2-1A4E-A65C-F9D9A758A362}" xr6:coauthVersionLast="47" xr6:coauthVersionMax="47" xr10:uidLastSave="{00000000-0000-0000-0000-000000000000}"/>
  <bookViews>
    <workbookView xWindow="0" yWindow="500" windowWidth="28800" windowHeight="15860" activeTab="1" xr2:uid="{00000000-000D-0000-FFFF-FFFF00000000}"/>
  </bookViews>
  <sheets>
    <sheet name="Apple FS" sheetId="7" r:id="rId1"/>
    <sheet name="Company Analysis" sheetId="5" r:id="rId2"/>
    <sheet name="Risk and Return Analysis" sheetId="2" r:id="rId3"/>
    <sheet name="Annual return S&amp;P500, Treasury"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12" i="5" l="1"/>
  <c r="L110" i="5"/>
  <c r="L109" i="5"/>
  <c r="N78" i="5"/>
  <c r="I16" i="5"/>
  <c r="C44" i="4"/>
  <c r="K36" i="4"/>
  <c r="C42" i="4" s="1"/>
  <c r="C36" i="4"/>
  <c r="C6" i="4"/>
  <c r="C7" i="4"/>
  <c r="I76" i="5"/>
  <c r="L71" i="5"/>
  <c r="K71" i="5"/>
  <c r="J71" i="5"/>
  <c r="I71" i="5"/>
  <c r="M58" i="5"/>
  <c r="I42" i="5"/>
  <c r="I41" i="5"/>
  <c r="I70" i="5"/>
  <c r="K70" i="5"/>
  <c r="J70" i="5"/>
  <c r="I73" i="5"/>
  <c r="I75" i="5"/>
  <c r="I97" i="5"/>
  <c r="I105" i="5"/>
  <c r="I36" i="5"/>
  <c r="J35" i="5"/>
  <c r="I15" i="5"/>
  <c r="J76" i="5"/>
  <c r="K76" i="5"/>
  <c r="L76" i="5"/>
  <c r="J73" i="5"/>
  <c r="K73" i="5"/>
  <c r="L73" i="5"/>
  <c r="I72" i="5"/>
  <c r="C41" i="4"/>
  <c r="C8" i="4"/>
  <c r="C9" i="4"/>
  <c r="C10" i="4"/>
  <c r="C11" i="4"/>
  <c r="C12" i="4"/>
  <c r="C13" i="4"/>
  <c r="C14" i="4"/>
  <c r="C15" i="4"/>
  <c r="C16" i="4"/>
  <c r="C17" i="4"/>
  <c r="C18" i="4"/>
  <c r="C19" i="4"/>
  <c r="C20" i="4"/>
  <c r="C21" i="4"/>
  <c r="C22" i="4"/>
  <c r="C23" i="4"/>
  <c r="C24" i="4"/>
  <c r="C25" i="4"/>
  <c r="C26" i="4"/>
  <c r="C27" i="4"/>
  <c r="C28" i="4"/>
  <c r="C29" i="4"/>
  <c r="C30" i="4"/>
  <c r="C31" i="4"/>
  <c r="C32" i="4"/>
  <c r="C33" i="4"/>
  <c r="C34" i="4"/>
  <c r="I110" i="5"/>
  <c r="I78" i="5" l="1"/>
  <c r="J78" i="5"/>
  <c r="K78" i="5"/>
  <c r="L78" i="5"/>
  <c r="C70" i="2"/>
  <c r="J41" i="5"/>
  <c r="K41" i="5"/>
  <c r="K42" i="5" s="1"/>
  <c r="L41" i="5"/>
  <c r="L42" i="5" s="1"/>
  <c r="L70" i="5" s="1"/>
  <c r="M41" i="5"/>
  <c r="M42" i="5" s="1"/>
  <c r="M70" i="5" s="1"/>
  <c r="M71" i="5" s="1"/>
  <c r="I60" i="5"/>
  <c r="J40" i="5"/>
  <c r="J42" i="5" s="1"/>
  <c r="K40" i="5"/>
  <c r="L40" i="5"/>
  <c r="M40" i="5"/>
  <c r="I40" i="5"/>
  <c r="J37" i="5"/>
  <c r="K37" i="5"/>
  <c r="L37" i="5"/>
  <c r="M37" i="5"/>
  <c r="I37" i="5"/>
  <c r="I103" i="5" l="1"/>
  <c r="I34" i="5"/>
  <c r="K35" i="5"/>
  <c r="L35" i="5"/>
  <c r="M35" i="5"/>
  <c r="I35" i="5"/>
  <c r="H36" i="4"/>
  <c r="L102" i="5"/>
  <c r="L104" i="5" s="1"/>
  <c r="I111" i="5" s="1"/>
  <c r="L101" i="5"/>
  <c r="I102" i="5"/>
  <c r="I88" i="5" s="1"/>
  <c r="I101" i="5"/>
  <c r="I94" i="5"/>
  <c r="I109" i="5" s="1"/>
  <c r="I113" i="5" s="1"/>
  <c r="J25" i="5"/>
  <c r="K25" i="5"/>
  <c r="L25" i="5"/>
  <c r="M25" i="5"/>
  <c r="J24" i="5"/>
  <c r="K24" i="5"/>
  <c r="L24" i="5"/>
  <c r="M24" i="5"/>
  <c r="I25" i="5"/>
  <c r="I24" i="5"/>
  <c r="J29" i="5"/>
  <c r="K29" i="5"/>
  <c r="L29" i="5"/>
  <c r="M29" i="5"/>
  <c r="I28" i="5"/>
  <c r="I29" i="5"/>
  <c r="J28" i="5"/>
  <c r="K28" i="5"/>
  <c r="L28" i="5"/>
  <c r="M28" i="5"/>
  <c r="J26" i="5"/>
  <c r="K26" i="5"/>
  <c r="L26" i="5"/>
  <c r="M26" i="5"/>
  <c r="I26" i="5"/>
  <c r="I27" i="5" l="1"/>
  <c r="J23" i="5"/>
  <c r="K23" i="5"/>
  <c r="L23" i="5"/>
  <c r="M23" i="5"/>
  <c r="I23" i="5"/>
  <c r="J14" i="5"/>
  <c r="K14" i="5"/>
  <c r="L14" i="5"/>
  <c r="M14" i="5"/>
  <c r="I14" i="5"/>
  <c r="J13" i="5"/>
  <c r="K13" i="5"/>
  <c r="L13" i="5"/>
  <c r="M13" i="5"/>
  <c r="I13" i="5"/>
  <c r="J20" i="5"/>
  <c r="K20" i="5"/>
  <c r="L20" i="5"/>
  <c r="M20" i="5"/>
  <c r="I20" i="5"/>
  <c r="I117" i="5" l="1"/>
  <c r="L120" i="5" s="1"/>
  <c r="I87" i="5" s="1"/>
  <c r="I89" i="5" s="1"/>
  <c r="I59" i="5"/>
  <c r="I57" i="5"/>
  <c r="I56" i="5"/>
  <c r="I55" i="5"/>
  <c r="I54" i="5"/>
  <c r="I53" i="5"/>
  <c r="I50" i="5"/>
  <c r="I51" i="5" s="1"/>
  <c r="I52" i="5" s="1"/>
  <c r="J27" i="5"/>
  <c r="K27" i="5"/>
  <c r="L27" i="5"/>
  <c r="M27" i="5"/>
  <c r="I61" i="5" l="1"/>
  <c r="I65" i="5"/>
  <c r="J87" i="5"/>
  <c r="J88" i="5"/>
  <c r="I58" i="5"/>
  <c r="M51" i="5" s="1"/>
  <c r="M50" i="5"/>
  <c r="J19" i="5"/>
  <c r="K19" i="5"/>
  <c r="L19" i="5"/>
  <c r="M19" i="5"/>
  <c r="I19" i="5"/>
  <c r="I11" i="5"/>
  <c r="L30" i="2"/>
  <c r="I17" i="5" l="1"/>
  <c r="I18" i="5"/>
  <c r="I21" i="5"/>
  <c r="M34" i="5"/>
  <c r="M36" i="5" s="1"/>
  <c r="M38" i="5" s="1"/>
  <c r="M43" i="5" s="1"/>
  <c r="J34" i="5"/>
  <c r="J36" i="5" s="1"/>
  <c r="J38" i="5" s="1"/>
  <c r="J43" i="5" s="1"/>
  <c r="K34" i="5"/>
  <c r="K36" i="5" s="1"/>
  <c r="K38" i="5" s="1"/>
  <c r="K43" i="5" s="1"/>
  <c r="L34" i="5"/>
  <c r="L36" i="5" s="1"/>
  <c r="L38" i="5" s="1"/>
  <c r="L43" i="5" s="1"/>
  <c r="I38" i="5" l="1"/>
  <c r="I43" i="5" s="1"/>
  <c r="I22" i="5"/>
  <c r="I12" i="5" l="1"/>
  <c r="I63" i="5" l="1"/>
  <c r="I64" i="5" s="1"/>
  <c r="I67" i="5" l="1"/>
  <c r="I66" i="5"/>
  <c r="J22" i="5"/>
  <c r="K22" i="5"/>
  <c r="L22" i="5"/>
  <c r="M22" i="5"/>
  <c r="J11" i="5"/>
  <c r="K11" i="5"/>
  <c r="L11" i="5"/>
  <c r="M11" i="5"/>
  <c r="J15" i="5"/>
  <c r="K15" i="5"/>
  <c r="L15" i="5"/>
  <c r="M15" i="5"/>
  <c r="J12" i="5"/>
  <c r="K12" i="5"/>
  <c r="L12" i="5"/>
  <c r="M12" i="5"/>
  <c r="J7" i="5"/>
  <c r="K7" i="5"/>
  <c r="L7" i="5"/>
  <c r="M7" i="5"/>
  <c r="I7" i="5"/>
  <c r="M6" i="5"/>
  <c r="J6" i="5"/>
  <c r="K6" i="5"/>
  <c r="L6" i="5"/>
  <c r="I6" i="5"/>
  <c r="M52" i="5" l="1"/>
  <c r="M21" i="5"/>
  <c r="L21" i="5"/>
  <c r="K21" i="5"/>
  <c r="J21" i="5"/>
  <c r="L18" i="5"/>
  <c r="L16" i="5"/>
  <c r="L72" i="5" s="1"/>
  <c r="L75" i="5" s="1"/>
  <c r="L17" i="5"/>
  <c r="K18" i="5"/>
  <c r="K16" i="5"/>
  <c r="K72" i="5" s="1"/>
  <c r="K75" i="5" s="1"/>
  <c r="K17" i="5"/>
  <c r="J18" i="5"/>
  <c r="J17" i="5"/>
  <c r="J16" i="5"/>
  <c r="J72" i="5" s="1"/>
  <c r="J75" i="5" s="1"/>
  <c r="M18" i="5"/>
  <c r="M17" i="5"/>
  <c r="M16" i="5"/>
  <c r="M72" i="5" s="1"/>
  <c r="M75" i="5" s="1"/>
  <c r="M54" i="5" l="1"/>
  <c r="F65" i="2"/>
  <c r="I65" i="2" s="1"/>
  <c r="F64" i="2"/>
  <c r="I64" i="2" s="1"/>
  <c r="F63" i="2"/>
  <c r="I63" i="2" s="1"/>
  <c r="F62" i="2"/>
  <c r="I62" i="2" s="1"/>
  <c r="F61" i="2"/>
  <c r="I61" i="2" s="1"/>
  <c r="F60" i="2"/>
  <c r="I60" i="2" s="1"/>
  <c r="F59" i="2"/>
  <c r="I59" i="2" s="1"/>
  <c r="F58" i="2"/>
  <c r="I58" i="2" s="1"/>
  <c r="F57" i="2"/>
  <c r="I57" i="2" s="1"/>
  <c r="F56" i="2"/>
  <c r="I56" i="2" s="1"/>
  <c r="F55" i="2"/>
  <c r="I55" i="2" s="1"/>
  <c r="F54" i="2"/>
  <c r="I54" i="2" s="1"/>
  <c r="F53" i="2"/>
  <c r="I53" i="2" s="1"/>
  <c r="F52" i="2"/>
  <c r="I52" i="2" s="1"/>
  <c r="F51" i="2"/>
  <c r="I51" i="2" s="1"/>
  <c r="F50" i="2"/>
  <c r="I50" i="2" s="1"/>
  <c r="F49" i="2"/>
  <c r="I49" i="2" s="1"/>
  <c r="F48" i="2"/>
  <c r="I48" i="2" s="1"/>
  <c r="F47" i="2"/>
  <c r="I47" i="2" s="1"/>
  <c r="F46" i="2"/>
  <c r="I46" i="2" s="1"/>
  <c r="F45" i="2"/>
  <c r="I45" i="2" s="1"/>
  <c r="F44" i="2"/>
  <c r="I44" i="2" s="1"/>
  <c r="F43" i="2"/>
  <c r="I43" i="2" s="1"/>
  <c r="F42" i="2"/>
  <c r="I42" i="2" s="1"/>
  <c r="F41" i="2"/>
  <c r="I41" i="2" s="1"/>
  <c r="F40" i="2"/>
  <c r="I40" i="2" s="1"/>
  <c r="F39" i="2"/>
  <c r="I39" i="2" s="1"/>
  <c r="F38" i="2"/>
  <c r="I38" i="2" s="1"/>
  <c r="F37" i="2"/>
  <c r="I37" i="2" s="1"/>
  <c r="F36" i="2"/>
  <c r="I36" i="2" s="1"/>
  <c r="F35" i="2"/>
  <c r="I35" i="2" s="1"/>
  <c r="F34" i="2"/>
  <c r="I34" i="2" s="1"/>
  <c r="F33" i="2"/>
  <c r="I33" i="2" s="1"/>
  <c r="F32" i="2"/>
  <c r="I32" i="2" s="1"/>
  <c r="F31" i="2"/>
  <c r="I31" i="2" s="1"/>
  <c r="F30" i="2"/>
  <c r="I30" i="2" s="1"/>
  <c r="F29" i="2"/>
  <c r="I29" i="2" s="1"/>
  <c r="F28" i="2"/>
  <c r="I28" i="2" s="1"/>
  <c r="F27" i="2"/>
  <c r="I27" i="2" s="1"/>
  <c r="F26" i="2"/>
  <c r="I26" i="2" s="1"/>
  <c r="F25" i="2"/>
  <c r="I25" i="2" s="1"/>
  <c r="F24" i="2"/>
  <c r="I24" i="2" s="1"/>
  <c r="F23" i="2"/>
  <c r="I23" i="2" s="1"/>
  <c r="F22" i="2"/>
  <c r="I22" i="2" s="1"/>
  <c r="F21" i="2"/>
  <c r="I21" i="2" s="1"/>
  <c r="F20" i="2"/>
  <c r="I20" i="2" s="1"/>
  <c r="F19" i="2"/>
  <c r="I19" i="2" s="1"/>
  <c r="F18" i="2"/>
  <c r="I18" i="2" s="1"/>
  <c r="F17" i="2"/>
  <c r="I17" i="2" s="1"/>
  <c r="F16" i="2"/>
  <c r="I16" i="2" s="1"/>
  <c r="F15" i="2"/>
  <c r="I15" i="2" s="1"/>
  <c r="F14" i="2"/>
  <c r="I14" i="2" s="1"/>
  <c r="F13" i="2"/>
  <c r="I13" i="2" s="1"/>
  <c r="F12" i="2"/>
  <c r="I12" i="2" s="1"/>
  <c r="F11" i="2"/>
  <c r="I11" i="2" s="1"/>
  <c r="F10" i="2"/>
  <c r="I10" i="2" s="1"/>
  <c r="F9" i="2"/>
  <c r="I9" i="2" s="1"/>
  <c r="F8" i="2"/>
  <c r="I8" i="2" s="1"/>
  <c r="F7" i="2"/>
  <c r="C8" i="2"/>
  <c r="H8" i="2" s="1"/>
  <c r="C9" i="2"/>
  <c r="H9" i="2" s="1"/>
  <c r="C10" i="2"/>
  <c r="H10" i="2" s="1"/>
  <c r="C11" i="2"/>
  <c r="H11" i="2" s="1"/>
  <c r="C12" i="2"/>
  <c r="H12" i="2" s="1"/>
  <c r="C13" i="2"/>
  <c r="H13" i="2" s="1"/>
  <c r="C14" i="2"/>
  <c r="H14" i="2" s="1"/>
  <c r="C15" i="2"/>
  <c r="H15" i="2" s="1"/>
  <c r="C16" i="2"/>
  <c r="H16" i="2" s="1"/>
  <c r="C17" i="2"/>
  <c r="H17" i="2" s="1"/>
  <c r="C18" i="2"/>
  <c r="H18" i="2" s="1"/>
  <c r="C19" i="2"/>
  <c r="H19" i="2" s="1"/>
  <c r="C20" i="2"/>
  <c r="H20" i="2" s="1"/>
  <c r="C21" i="2"/>
  <c r="H21" i="2" s="1"/>
  <c r="C22" i="2"/>
  <c r="H22" i="2" s="1"/>
  <c r="C23" i="2"/>
  <c r="H23" i="2" s="1"/>
  <c r="C24" i="2"/>
  <c r="H24" i="2" s="1"/>
  <c r="C25" i="2"/>
  <c r="H25" i="2" s="1"/>
  <c r="C26" i="2"/>
  <c r="H26" i="2" s="1"/>
  <c r="C27" i="2"/>
  <c r="H27" i="2" s="1"/>
  <c r="C28" i="2"/>
  <c r="H28" i="2" s="1"/>
  <c r="C29" i="2"/>
  <c r="H29" i="2" s="1"/>
  <c r="C30" i="2"/>
  <c r="H30" i="2" s="1"/>
  <c r="C31" i="2"/>
  <c r="H31" i="2" s="1"/>
  <c r="C32" i="2"/>
  <c r="H32" i="2" s="1"/>
  <c r="C33" i="2"/>
  <c r="H33" i="2" s="1"/>
  <c r="C34" i="2"/>
  <c r="H34" i="2" s="1"/>
  <c r="C35" i="2"/>
  <c r="H35" i="2" s="1"/>
  <c r="C36" i="2"/>
  <c r="H36" i="2" s="1"/>
  <c r="C37" i="2"/>
  <c r="H37" i="2" s="1"/>
  <c r="C38" i="2"/>
  <c r="H38" i="2" s="1"/>
  <c r="C39" i="2"/>
  <c r="H39" i="2" s="1"/>
  <c r="C40" i="2"/>
  <c r="H40" i="2" s="1"/>
  <c r="C41" i="2"/>
  <c r="H41" i="2" s="1"/>
  <c r="C42" i="2"/>
  <c r="H42" i="2" s="1"/>
  <c r="C43" i="2"/>
  <c r="H43" i="2" s="1"/>
  <c r="C44" i="2"/>
  <c r="H44" i="2" s="1"/>
  <c r="C45" i="2"/>
  <c r="H45" i="2" s="1"/>
  <c r="C46" i="2"/>
  <c r="H46" i="2" s="1"/>
  <c r="C47" i="2"/>
  <c r="H47" i="2" s="1"/>
  <c r="C48" i="2"/>
  <c r="H48" i="2" s="1"/>
  <c r="C49" i="2"/>
  <c r="H49" i="2" s="1"/>
  <c r="C50" i="2"/>
  <c r="H50" i="2" s="1"/>
  <c r="C51" i="2"/>
  <c r="H51" i="2" s="1"/>
  <c r="C52" i="2"/>
  <c r="H52" i="2" s="1"/>
  <c r="C53" i="2"/>
  <c r="H53" i="2" s="1"/>
  <c r="C54" i="2"/>
  <c r="H54" i="2" s="1"/>
  <c r="C55" i="2"/>
  <c r="H55" i="2" s="1"/>
  <c r="C56" i="2"/>
  <c r="H56" i="2" s="1"/>
  <c r="C57" i="2"/>
  <c r="H57" i="2" s="1"/>
  <c r="C58" i="2"/>
  <c r="H58" i="2" s="1"/>
  <c r="C59" i="2"/>
  <c r="H59" i="2" s="1"/>
  <c r="C60" i="2"/>
  <c r="H60" i="2" s="1"/>
  <c r="C61" i="2"/>
  <c r="H61" i="2" s="1"/>
  <c r="C62" i="2"/>
  <c r="H62" i="2" s="1"/>
  <c r="C63" i="2"/>
  <c r="H63" i="2" s="1"/>
  <c r="C64" i="2"/>
  <c r="H64" i="2" s="1"/>
  <c r="C65" i="2"/>
  <c r="H65" i="2" s="1"/>
  <c r="C7" i="2"/>
  <c r="I7" i="2" l="1"/>
  <c r="L26" i="2" s="1"/>
  <c r="F67" i="2"/>
  <c r="H7" i="2"/>
  <c r="C67" i="2"/>
  <c r="L34" i="2" s="1"/>
  <c r="L36" i="2" s="1"/>
  <c r="L43" i="2" s="1"/>
  <c r="F68" i="2"/>
  <c r="C68" i="2"/>
  <c r="L38" i="2" l="1"/>
  <c r="L40" i="2" s="1"/>
</calcChain>
</file>

<file path=xl/sharedStrings.xml><?xml version="1.0" encoding="utf-8"?>
<sst xmlns="http://schemas.openxmlformats.org/spreadsheetml/2006/main" count="863" uniqueCount="435">
  <si>
    <t>Powered by Clearbit</t>
  </si>
  <si>
    <t>Report Date</t>
  </si>
  <si>
    <t>Currency</t>
  </si>
  <si>
    <t>USD</t>
  </si>
  <si>
    <t>Audit Status</t>
  </si>
  <si>
    <t>Not Qualified</t>
  </si>
  <si>
    <t>Consolidated</t>
  </si>
  <si>
    <t>Yes</t>
  </si>
  <si>
    <t>Scale</t>
  </si>
  <si>
    <t>Thousands</t>
  </si>
  <si>
    <t>Inventories</t>
  </si>
  <si>
    <t>-</t>
  </si>
  <si>
    <t>Total Current Assets</t>
  </si>
  <si>
    <t>Total Current Liabilities</t>
  </si>
  <si>
    <t>Retained Earnings</t>
  </si>
  <si>
    <t>Date</t>
  </si>
  <si>
    <t>Adj Close</t>
  </si>
  <si>
    <t>Year</t>
  </si>
  <si>
    <t>Average</t>
  </si>
  <si>
    <t>Closing Price</t>
  </si>
  <si>
    <t>Year Open</t>
  </si>
  <si>
    <t>Year High</t>
  </si>
  <si>
    <t>Year Low</t>
  </si>
  <si>
    <t>Year Close</t>
  </si>
  <si>
    <t>Average Yield</t>
  </si>
  <si>
    <t>Monthly</t>
  </si>
  <si>
    <t>Return</t>
  </si>
  <si>
    <t>S&amp;P 500</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</si>
  <si>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</si>
  <si>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</si>
  <si>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</si>
  <si>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</si>
  <si>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</si>
  <si>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</si>
  <si>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</si>
  <si>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</si>
  <si>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</si>
  <si>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</si>
  <si>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</si>
  <si>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</si>
  <si>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</si>
  <si>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</si>
  <si>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</si>
  <si>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</si>
  <si>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</si>
  <si>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</si>
  <si>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</si>
  <si>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</si>
  <si>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</si>
  <si>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</si>
  <si>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</si>
  <si>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Average Monthly Return</t>
  </si>
  <si>
    <t>Standard Deviation</t>
  </si>
  <si>
    <t>Current Ratio</t>
  </si>
  <si>
    <t>Quick Ratio</t>
  </si>
  <si>
    <t>Owner's Equity</t>
  </si>
  <si>
    <t>Total Asset Turnover</t>
  </si>
  <si>
    <t>Liquidity</t>
  </si>
  <si>
    <t>Growth rate in sales (g)</t>
  </si>
  <si>
    <t>Sales (S0)</t>
  </si>
  <si>
    <t>Forecasted sales ( S1)</t>
  </si>
  <si>
    <t xml:space="preserve">Increase in sales </t>
  </si>
  <si>
    <t xml:space="preserve">Total Assets </t>
  </si>
  <si>
    <t xml:space="preserve">Total Liabilities </t>
  </si>
  <si>
    <t>Spontaneous current liabilities</t>
  </si>
  <si>
    <t>Net income</t>
  </si>
  <si>
    <t>Dividends</t>
  </si>
  <si>
    <t>Dividend Payout Ratio</t>
  </si>
  <si>
    <t>Investments in Total Assets</t>
  </si>
  <si>
    <t>From Spontanteous Liabilites</t>
  </si>
  <si>
    <t>From retained earnings</t>
  </si>
  <si>
    <t>Profit Margin = NI/Sales</t>
  </si>
  <si>
    <t xml:space="preserve">Expected Net income </t>
  </si>
  <si>
    <t>Payout ratio</t>
  </si>
  <si>
    <t>Dividends to be paid</t>
  </si>
  <si>
    <t>Retention rate= Retained earnings/expected net income</t>
  </si>
  <si>
    <t>SUMMARY OUTPUT</t>
  </si>
  <si>
    <t>BETA (Covariane)</t>
  </si>
  <si>
    <t>Apple Inc (NMS: AAPL)</t>
  </si>
  <si>
    <t xml:space="preserve">As Reported Annual Balance Sheet </t>
  </si>
  <si>
    <t>09/25/2021</t>
  </si>
  <si>
    <t>09/26/2020</t>
  </si>
  <si>
    <t>09/28/2019</t>
  </si>
  <si>
    <t>09/29/2018</t>
  </si>
  <si>
    <t>09/30/2017</t>
  </si>
  <si>
    <t>Cash &amp; cash equivalents</t>
  </si>
  <si>
    <t>Marketable securities</t>
  </si>
  <si>
    <t>Accounts receivable, gross</t>
  </si>
  <si>
    <t>Allowances</t>
  </si>
  <si>
    <t>Accounts receivable, net</t>
  </si>
  <si>
    <t>Vendor non-trade receivables</t>
  </si>
  <si>
    <t>Other current assets</t>
  </si>
  <si>
    <t>Total current assets</t>
  </si>
  <si>
    <t>Land &amp; buildings</t>
  </si>
  <si>
    <t>Machinery, equipment, &amp; internal-use software</t>
  </si>
  <si>
    <t>Leasehold improvements</t>
  </si>
  <si>
    <t>Gross property, plant &amp; equipment</t>
  </si>
  <si>
    <t>Accumulated depreciation &amp; amortization</t>
  </si>
  <si>
    <t>Property, plant &amp; equipment, net</t>
  </si>
  <si>
    <t>Goodwill</t>
  </si>
  <si>
    <t>Acquired intangible assets, net</t>
  </si>
  <si>
    <t>Other non-current assets</t>
  </si>
  <si>
    <t>Total non-current assets</t>
  </si>
  <si>
    <t>Total assets</t>
  </si>
  <si>
    <t>Accounts payable</t>
  </si>
  <si>
    <t>Accrued expenses</t>
  </si>
  <si>
    <t>Deferred revenue</t>
  </si>
  <si>
    <t>Other current liabilities</t>
  </si>
  <si>
    <t>Commercial paper</t>
  </si>
  <si>
    <t>Term debt</t>
  </si>
  <si>
    <t>Current portion of long-term debt</t>
  </si>
  <si>
    <t>Total current liabilities</t>
  </si>
  <si>
    <t>Floating &amp; fixed-rate notes</t>
  </si>
  <si>
    <t>Total debt</t>
  </si>
  <si>
    <t>Unamortized discount</t>
  </si>
  <si>
    <t>Hedge accounting fair value adjustments</t>
  </si>
  <si>
    <t>Less: current portion of long-term debt</t>
  </si>
  <si>
    <t>Long-term taxes payable</t>
  </si>
  <si>
    <t>Deferred tax liabilities</t>
  </si>
  <si>
    <t>Other non-current liabilities</t>
  </si>
  <si>
    <t>Total non-current liabilities</t>
  </si>
  <si>
    <t>Total liabilities</t>
  </si>
  <si>
    <t>Common stock</t>
  </si>
  <si>
    <t>Retained earnings</t>
  </si>
  <si>
    <t>Cumulative foreign currency translation</t>
  </si>
  <si>
    <t>Unrecognized gains (losses) on derivative instruments</t>
  </si>
  <si>
    <t>Unrealized gains (losses) on marketable securities</t>
  </si>
  <si>
    <t>Accumulated other comprehensive income (loss)</t>
  </si>
  <si>
    <t>Total shareholders' equity</t>
  </si>
  <si>
    <t xml:space="preserve">As Reported Annual Income Statement </t>
  </si>
  <si>
    <t>Products</t>
  </si>
  <si>
    <t>Services</t>
  </si>
  <si>
    <t>Net sales</t>
  </si>
  <si>
    <t>Cost of sales - products</t>
  </si>
  <si>
    <t>Cost of sales - services</t>
  </si>
  <si>
    <t>Cost of sales</t>
  </si>
  <si>
    <t>Gross margin</t>
  </si>
  <si>
    <t>Research &amp; development expense</t>
  </si>
  <si>
    <t>Selling, general &amp; administrative expense</t>
  </si>
  <si>
    <t>Total operating expenses</t>
  </si>
  <si>
    <t>Operating income (loss)</t>
  </si>
  <si>
    <t>Interest &amp; dividend income</t>
  </si>
  <si>
    <t>Interest expense</t>
  </si>
  <si>
    <t>Other income (expense), net</t>
  </si>
  <si>
    <t>Other income/(expense), net</t>
  </si>
  <si>
    <t>Income (loss) before provision for income taxes</t>
  </si>
  <si>
    <t>Current federal income tax expense (benefit)</t>
  </si>
  <si>
    <t>Deferred federal income tax expense (benefit)</t>
  </si>
  <si>
    <t>Total federal income tax expense (benefit)</t>
  </si>
  <si>
    <t>Current state income tax expense (benefit)</t>
  </si>
  <si>
    <t>Deferred state income tax expense (benefit)</t>
  </si>
  <si>
    <t>Total state income tax expense (benefit)</t>
  </si>
  <si>
    <t>Current foreign income tax expense (benefit)</t>
  </si>
  <si>
    <t>Deferred foreign income tax expense (benefit)</t>
  </si>
  <si>
    <t>Total foreign income tax expense (benefit)</t>
  </si>
  <si>
    <t>Provision for (benefit from) income taxes</t>
  </si>
  <si>
    <t>Net income (loss)</t>
  </si>
  <si>
    <t>Weighted average shares outstanding - basic</t>
  </si>
  <si>
    <t>Weighted average shares outstanding - diluted</t>
  </si>
  <si>
    <t>Year end shares outstanding</t>
  </si>
  <si>
    <t>Net earnings (loss) per share - basic</t>
  </si>
  <si>
    <t>Net earnings (loss) per share - diluted</t>
  </si>
  <si>
    <t>Cash dividends declared per share</t>
  </si>
  <si>
    <t>Number of full time employees</t>
  </si>
  <si>
    <t>Number of common stockholders</t>
  </si>
  <si>
    <t>Foreign currency translation adjustments</t>
  </si>
  <si>
    <t xml:space="preserve">As Reported Annual Retained Earnings </t>
  </si>
  <si>
    <t>Previous retained earnings</t>
  </si>
  <si>
    <t>Cumulative effects of changes in accounting principles</t>
  </si>
  <si>
    <t>Dividends &amp; dividend equivalents declared</t>
  </si>
  <si>
    <t>Common stock repurchased</t>
  </si>
  <si>
    <t>Common stock issued, net of shares withheld for employee taxes</t>
  </si>
  <si>
    <t xml:space="preserve">As Reported Annual Cash Flow </t>
  </si>
  <si>
    <t>Depreciation &amp; amortization</t>
  </si>
  <si>
    <t>Share-based compensation expense</t>
  </si>
  <si>
    <t>Deferred income tax expense (benefit)</t>
  </si>
  <si>
    <t>Other adjustments</t>
  </si>
  <si>
    <t>Other current &amp; non-current assets</t>
  </si>
  <si>
    <t>Other current &amp; non-current liabilities</t>
  </si>
  <si>
    <t>Net cash flows from operating activities</t>
  </si>
  <si>
    <t>Purchases of marketable securities</t>
  </si>
  <si>
    <t>Proceeds from maturities of marketable securities</t>
  </si>
  <si>
    <t>Proceeds from sales of marketable securities</t>
  </si>
  <si>
    <t>Payments made in connection with business acquisitions, net</t>
  </si>
  <si>
    <t>Purchases of non-marketable securities</t>
  </si>
  <si>
    <t>Proceeds from non-marketable securities</t>
  </si>
  <si>
    <t>Payments for acquisition of property, plant &amp; equipment</t>
  </si>
  <si>
    <t>Payment for acquisition of intangible assets</t>
  </si>
  <si>
    <t>Payments for strategic investments</t>
  </si>
  <si>
    <t>Other cash flow from investing activities</t>
  </si>
  <si>
    <t>Net cash flows from investing activities</t>
  </si>
  <si>
    <t>Proceeds from issuance of common stock</t>
  </si>
  <si>
    <t>Excess tax benefits from equity awards</t>
  </si>
  <si>
    <t>Payments for taxes related to net share settlement of equity awards</t>
  </si>
  <si>
    <t>Payments for dividends &amp; dividend equivalents</t>
  </si>
  <si>
    <t>Repurchases of common stock</t>
  </si>
  <si>
    <t>Proceeds from issuance of term debt, net</t>
  </si>
  <si>
    <t>Repayments of term debt</t>
  </si>
  <si>
    <t>Proceeds from/(repayments of) commercial paper, net</t>
  </si>
  <si>
    <t>Other cash flows from financing activities</t>
  </si>
  <si>
    <t>Net cash flows from financing activities</t>
  </si>
  <si>
    <t>Net increase (decrease) in cash, cash equivalents &amp; restricted cash</t>
  </si>
  <si>
    <t>Cash, cash equivalents &amp; restricted cash, beginning balances</t>
  </si>
  <si>
    <t>Cash, cash equivalents &amp; restricted cash, ending balances</t>
  </si>
  <si>
    <t>Increase (decrease) in cash &amp; cash equivalents</t>
  </si>
  <si>
    <t>Cash &amp; cash equivalents, beginning of the year</t>
  </si>
  <si>
    <t>Cash &amp; cash equivalents, end of the year</t>
  </si>
  <si>
    <t>Cash paid (received) for income taxes, net</t>
  </si>
  <si>
    <t>Cash paid for interest</t>
  </si>
  <si>
    <t>Annual % Change</t>
  </si>
  <si>
    <t>AAPLE (AAPL)</t>
  </si>
  <si>
    <t>BETA CALCULATION FOR AAPL USING EXCEL FUNCTION</t>
  </si>
  <si>
    <t>BETA CALCULATION FOR AAPL USING REGRESSION</t>
  </si>
  <si>
    <t>Additional Funds Needed (AFN)</t>
  </si>
  <si>
    <t>Profitability,  Efficiency and Solvency</t>
  </si>
  <si>
    <t>AAPL</t>
  </si>
  <si>
    <t>ROIC</t>
  </si>
  <si>
    <t xml:space="preserve"> Leverage Ratio (Debt/ Equity Ratio)</t>
  </si>
  <si>
    <t>Tax Rate</t>
  </si>
  <si>
    <t xml:space="preserve">Operating Income (EBIT) </t>
  </si>
  <si>
    <t>Earnings After Taxes (NOPAT )</t>
  </si>
  <si>
    <t>Invested Capital</t>
  </si>
  <si>
    <t>Market Capitalization (Value of equity) = price/share * Number of shares outstanding</t>
  </si>
  <si>
    <t>Number of shares outstanding</t>
  </si>
  <si>
    <t>Current share price</t>
  </si>
  <si>
    <t>WACC</t>
  </si>
  <si>
    <t>Expected Return of the Market (yearly)</t>
  </si>
  <si>
    <t xml:space="preserve">Risk free rate of return </t>
  </si>
  <si>
    <t>Expected return (Avg yearly return)</t>
  </si>
  <si>
    <t>Cost of equity (Required of Return) (Yearly)</t>
  </si>
  <si>
    <t xml:space="preserve">Cost of Equity </t>
  </si>
  <si>
    <t>Average Yield for 30 Yrs</t>
  </si>
  <si>
    <t>(All values are In $ thousands)</t>
  </si>
  <si>
    <t>Calculation of Additional Fund Needed for year 2023</t>
  </si>
  <si>
    <t>Calculation of Cost of Debt</t>
  </si>
  <si>
    <t>Calculation of Weighted Average Cost of Capital (WACC)</t>
  </si>
  <si>
    <t>Debt/Capital Ratio</t>
  </si>
  <si>
    <t>Financial Leverage (TA/ OE)</t>
  </si>
  <si>
    <t>Debt/Assets Ratio</t>
  </si>
  <si>
    <t>Market to Book Ratio (Price/ Book Ratio)</t>
  </si>
  <si>
    <t>S&amp;P 500 Index - Historical Annual Data (30 Yrs)</t>
  </si>
  <si>
    <t>10-Year Treasury - Historical Annual Yield Data (30 Yrs)</t>
  </si>
  <si>
    <t xml:space="preserve">Current debt </t>
  </si>
  <si>
    <t>Times Interest Earned (TIE)</t>
  </si>
  <si>
    <t>PERFORMANCE ANALYSIS</t>
  </si>
  <si>
    <t>GROWTH ANALYSIS</t>
  </si>
  <si>
    <t xml:space="preserve">Calculation of Return on Invested Capital (ROIC) </t>
  </si>
  <si>
    <t>COST OF CAPITAL</t>
  </si>
  <si>
    <t>VALUATION</t>
  </si>
  <si>
    <t>From yahoo finance</t>
  </si>
  <si>
    <t>Calculation of Required Rate of Return (Cost of Equity)</t>
  </si>
  <si>
    <t>RISK AND RETURN ANALYSIS</t>
  </si>
  <si>
    <t>AVERAGE MONTHLY RETURNS</t>
  </si>
  <si>
    <t>Gross Margin %</t>
  </si>
  <si>
    <t xml:space="preserve"> Profit Margin %</t>
  </si>
  <si>
    <t>Return on Assets %</t>
  </si>
  <si>
    <t>Return on Equity %</t>
  </si>
  <si>
    <t>Operating Margin %</t>
  </si>
  <si>
    <t>Inventory Turnover Ratio</t>
  </si>
  <si>
    <t>Book Value per share</t>
  </si>
  <si>
    <t>Basic Earnings Per Share</t>
  </si>
  <si>
    <t>Diluted Earnings Per Share</t>
  </si>
  <si>
    <t xml:space="preserve">Exchange rate used is that of the Year End reported date </t>
  </si>
  <si>
    <t xml:space="preserve">Standardized Annual Balance Sheet </t>
  </si>
  <si>
    <t>Cash &amp; Equivalents</t>
  </si>
  <si>
    <t>Short Term Investments</t>
  </si>
  <si>
    <t>Cash &amp; Equivs &amp; ST Investments</t>
  </si>
  <si>
    <t>Receivables (ST)</t>
  </si>
  <si>
    <t>Other Current Assets</t>
  </si>
  <si>
    <t>Gross Property Plant &amp; Equip</t>
  </si>
  <si>
    <t>Accumulated Depreciation</t>
  </si>
  <si>
    <t>Net Property Plant &amp; Equip</t>
  </si>
  <si>
    <t>Long Term Investments</t>
  </si>
  <si>
    <t>Intangible Assets</t>
  </si>
  <si>
    <t>Other Assets</t>
  </si>
  <si>
    <t>Total Assets</t>
  </si>
  <si>
    <t>Accounts Payable &amp; Accrued Exps</t>
  </si>
  <si>
    <t>Accounts Payable</t>
  </si>
  <si>
    <t>Accrued Expenses</t>
  </si>
  <si>
    <t>Current Debt</t>
  </si>
  <si>
    <t>Other Current Liabilities</t>
  </si>
  <si>
    <t>LT Debt &amp; Leases</t>
  </si>
  <si>
    <t>Deferred LT Liabilities</t>
  </si>
  <si>
    <t>Minority Interests</t>
  </si>
  <si>
    <t>Other Liabilities</t>
  </si>
  <si>
    <t>Total Liabilities</t>
  </si>
  <si>
    <t>Common Share Capital</t>
  </si>
  <si>
    <t>Accum Other Comprehensive Income</t>
  </si>
  <si>
    <t>For Curr Trans (BS)</t>
  </si>
  <si>
    <t>Other Equity</t>
  </si>
  <si>
    <t>Total Equity</t>
  </si>
  <si>
    <t>Total Liabilities &amp; Equity</t>
  </si>
  <si>
    <t xml:space="preserve">Standardized Annual Income Statement </t>
  </si>
  <si>
    <t>Sales Revenue</t>
  </si>
  <si>
    <t>Total Revenue</t>
  </si>
  <si>
    <t>Direct Costs</t>
  </si>
  <si>
    <t>Gross Profit</t>
  </si>
  <si>
    <t>Selling General &amp; Admin</t>
  </si>
  <si>
    <t>Research &amp; Development</t>
  </si>
  <si>
    <t>Other Operating Expense</t>
  </si>
  <si>
    <t>Total Indirect Operating Costs</t>
  </si>
  <si>
    <t>Operating Income</t>
  </si>
  <si>
    <t>Interest Income</t>
  </si>
  <si>
    <t>Other Non-Operating Income</t>
  </si>
  <si>
    <t>Total Non-Operating Income</t>
  </si>
  <si>
    <t>Earnings Before Tax</t>
  </si>
  <si>
    <t>Taxation</t>
  </si>
  <si>
    <t>Extraordinary Items</t>
  </si>
  <si>
    <t>Accounting Changes</t>
  </si>
  <si>
    <t>Net Income</t>
  </si>
  <si>
    <t>Preference Dividends &amp; Similar</t>
  </si>
  <si>
    <t>Net Income to Common</t>
  </si>
  <si>
    <t>Average Shares Basic</t>
  </si>
  <si>
    <t>EPS Net Basic</t>
  </si>
  <si>
    <t>EPS Continuing Basic</t>
  </si>
  <si>
    <t>Average Shares Diluted</t>
  </si>
  <si>
    <t>EPS Net Diluted</t>
  </si>
  <si>
    <t>EPS Continuing Diluted</t>
  </si>
  <si>
    <t>Shares Outstanding</t>
  </si>
  <si>
    <t xml:space="preserve">Standardized Annual Retained Earnings </t>
  </si>
  <si>
    <t>Retained Earnings at Start</t>
  </si>
  <si>
    <t>Retained Earnings at End</t>
  </si>
  <si>
    <t xml:space="preserve">Standardized Annual Cash Flows </t>
  </si>
  <si>
    <t>Adjustments from Inc to Cash</t>
  </si>
  <si>
    <t>Change in Working Capital</t>
  </si>
  <si>
    <t>Cash Flow from Operations</t>
  </si>
  <si>
    <t>Purchase of Pty Plant &amp; Equip</t>
  </si>
  <si>
    <t>Purchase of Investments</t>
  </si>
  <si>
    <t>Disposal of Investments</t>
  </si>
  <si>
    <t>Change in Business Activities</t>
  </si>
  <si>
    <t>Other Investing Cash Flows</t>
  </si>
  <si>
    <t>Cash Flow from Investing</t>
  </si>
  <si>
    <t>Change in ST Debt</t>
  </si>
  <si>
    <t>Change in LT Debt</t>
  </si>
  <si>
    <t>Change in Equity</t>
  </si>
  <si>
    <t>Payment of Dividends</t>
  </si>
  <si>
    <t>Other Financing Cash Flows</t>
  </si>
  <si>
    <t>Cash Flow from Financing</t>
  </si>
  <si>
    <t>Change in Cash</t>
  </si>
  <si>
    <t>Opening Cash</t>
  </si>
  <si>
    <t>Closing Cash</t>
  </si>
  <si>
    <t>Depn &amp; Amortn (CF)</t>
  </si>
  <si>
    <t>Net Purch of Pty Plant &amp; Equip</t>
  </si>
  <si>
    <t xml:space="preserve">Standardized Annual CS Balance Sheet </t>
  </si>
  <si>
    <t>Cash &amp; Equivalents %TA</t>
  </si>
  <si>
    <t>Short Term Investments %TA</t>
  </si>
  <si>
    <t>Cash &amp; Equivs &amp; ST Investments %TA</t>
  </si>
  <si>
    <t>Receivables (ST) %TA</t>
  </si>
  <si>
    <t>Inventories %TA</t>
  </si>
  <si>
    <t>Other Current Assets %TA</t>
  </si>
  <si>
    <t>Total Current Assets %TA</t>
  </si>
  <si>
    <t>Gross Property Plant &amp; Equip %TA</t>
  </si>
  <si>
    <t>Accumulated Depreciation %TA</t>
  </si>
  <si>
    <t>Net Property Plant &amp; Equip %TA</t>
  </si>
  <si>
    <t>LT Investments %TA</t>
  </si>
  <si>
    <t>Intangible Assets %TA</t>
  </si>
  <si>
    <t>Other Assets %TA</t>
  </si>
  <si>
    <t>Total Assets as 100%</t>
  </si>
  <si>
    <t>Accounts Payable &amp; Accrued Exps %TA</t>
  </si>
  <si>
    <t>Accounts Payable %TA</t>
  </si>
  <si>
    <t>Accrued Expenses %TA</t>
  </si>
  <si>
    <t>Current Debt %TA</t>
  </si>
  <si>
    <t>Other Current Liabilities %TA</t>
  </si>
  <si>
    <t>Total Current Liabilities %TA</t>
  </si>
  <si>
    <t>LT Debt &amp; Lease %TA</t>
  </si>
  <si>
    <t>Deferred LT Liabilities %TA</t>
  </si>
  <si>
    <t>Minority Interests %TA</t>
  </si>
  <si>
    <t>Other Liabilities %TA</t>
  </si>
  <si>
    <t>Total Liabilities %TA</t>
  </si>
  <si>
    <t>Common Share Capital %TA</t>
  </si>
  <si>
    <t>Retained Earnings %TA</t>
  </si>
  <si>
    <t>Accum Other Comprehens Income %TA</t>
  </si>
  <si>
    <t>Other Equity %TA</t>
  </si>
  <si>
    <t>Total Equity %TA</t>
  </si>
  <si>
    <t>Total Liabilities &amp; Equity %TA</t>
  </si>
  <si>
    <t xml:space="preserve">Standardized Annual CS Income Statement </t>
  </si>
  <si>
    <t>Sales Revenue %TR</t>
  </si>
  <si>
    <t>Total Revenue (100% TR)</t>
  </si>
  <si>
    <t>Direct Costs %TR</t>
  </si>
  <si>
    <t>Gross Profit %TR</t>
  </si>
  <si>
    <t>Selling General &amp; Admin %TR</t>
  </si>
  <si>
    <t>Research &amp; Development %TR</t>
  </si>
  <si>
    <t>Other Operating Expense %TR</t>
  </si>
  <si>
    <t>Total Indirect Operating Costs %TR</t>
  </si>
  <si>
    <t>Operating Income %TR</t>
  </si>
  <si>
    <t>Interest Income %TR</t>
  </si>
  <si>
    <t>Other Non-Operating Income %TR</t>
  </si>
  <si>
    <t>Total Non-Operating Income %TR</t>
  </si>
  <si>
    <t>Earnings Before Tax %TR</t>
  </si>
  <si>
    <t>Taxation %TR</t>
  </si>
  <si>
    <t>Extraordinary Items %TR</t>
  </si>
  <si>
    <t>Accounting Changes %TR</t>
  </si>
  <si>
    <t>Net Income %TR</t>
  </si>
  <si>
    <t>Preference Dividends &amp; Similar %TR</t>
  </si>
  <si>
    <t>Net Income to Common %TR</t>
  </si>
  <si>
    <t>Days Sales in Receivables</t>
  </si>
  <si>
    <t>Accounts Receivables Turnover Ratio</t>
  </si>
  <si>
    <t>Beta</t>
  </si>
  <si>
    <t>Risk free rate of return</t>
  </si>
  <si>
    <t>Interest Expense</t>
  </si>
  <si>
    <t>Long Term Debt</t>
  </si>
  <si>
    <t>Short Term Debt</t>
  </si>
  <si>
    <t>Cost of Debt</t>
  </si>
  <si>
    <t>Income Before Tax</t>
  </si>
  <si>
    <t>Income Tax Expense</t>
  </si>
  <si>
    <t>Market Captilization</t>
  </si>
  <si>
    <t>From trading economics</t>
  </si>
  <si>
    <t>Total Debt</t>
  </si>
  <si>
    <t>Weight %</t>
  </si>
  <si>
    <t>Market risk premium</t>
  </si>
  <si>
    <t>Average annual % change</t>
  </si>
  <si>
    <t xml:space="preserve">Calculation of Weight of debt and Equity </t>
  </si>
  <si>
    <t>Calculation of Cost of Equity</t>
  </si>
  <si>
    <r>
      <rPr>
        <b/>
        <sz val="11"/>
        <color rgb="FFC00000"/>
        <rFont val="Calibri (Body)"/>
      </rPr>
      <t>REFERENCE :</t>
    </r>
    <r>
      <rPr>
        <b/>
        <sz val="11"/>
        <color theme="6" tint="-0.499984740745262"/>
        <rFont val="Calibri"/>
        <family val="2"/>
        <scheme val="minor"/>
      </rPr>
      <t xml:space="preserve"> https://www.sofi.com/learn/content/average-stock-market-return/</t>
    </r>
  </si>
  <si>
    <t>Calculation of WACC</t>
  </si>
  <si>
    <t>Retention Rate</t>
  </si>
  <si>
    <t>Payout Ratio</t>
  </si>
  <si>
    <t>Growth Rate</t>
  </si>
  <si>
    <t xml:space="preserve">Growth rate </t>
  </si>
  <si>
    <r>
      <t xml:space="preserve">From excel sheet Annual Return S&amp;P500, Treasury.                                                        </t>
    </r>
    <r>
      <rPr>
        <sz val="12"/>
        <color rgb="FFC00000"/>
        <rFont val="Calibri"/>
        <family val="2"/>
        <scheme val="minor"/>
      </rPr>
      <t>It’s the average of 10-Year Treasury - Historical Annual Yield Data for 30 Years.</t>
    </r>
  </si>
  <si>
    <t>Avg Return</t>
  </si>
  <si>
    <t>Market rate of return (yearly) (S&amp;P500)</t>
  </si>
  <si>
    <t>Market rate of return (monthly)</t>
  </si>
  <si>
    <t>Market rate of return (yearly)</t>
  </si>
  <si>
    <t>Market Risk rate of Return</t>
  </si>
  <si>
    <t>Calculation of Market Risk Premium</t>
  </si>
  <si>
    <t>Risk free rate of Return (Yield)</t>
  </si>
  <si>
    <t>Market Risk Premium                                = Market Risk - Risk Free Rate of Return</t>
  </si>
  <si>
    <t>Weight of Debt</t>
  </si>
  <si>
    <t xml:space="preserve">Weight of Equity </t>
  </si>
  <si>
    <t>Sustainable Growth Rate using ROE</t>
  </si>
  <si>
    <t>Sustainable Growth Rate using ROE BOP</t>
  </si>
  <si>
    <t>Market Risk free rate of Return</t>
  </si>
  <si>
    <t>Return on Equity (ROE)</t>
  </si>
  <si>
    <t>Return on Equity (ROE) Beginning of the Period (BOP)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</si>
</sst>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00"/>
    <numFmt numFmtId="168" formatCode="0.000%"/>
    <numFmt numFmtId="169" formatCode="[$$-409]#,##0.00"/>
  </numFmts>
  <fonts count="40" x14ac:knownFonts="1">
    <font>
      <sz val="10"/>
      <color rgb="FF000000"/>
      <name val="Arial"/>
    </font>
    <font>
      <sz val="12"/>
      <color theme="1"/>
      <name val="Calibri"/>
      <family val="2"/>
      <scheme val="minor"/>
    </font>
    <font>
      <sz val="12"/>
      <color theme="1"/>
      <name val="Calibri"/>
      <family val="2"/>
      <scheme val="minor"/>
    </font>
    <font>
      <sz val="10"/>
      <color rgb="FF000000"/>
      <name val="Arial"/>
      <family val="2"/>
    </font>
    <font>
      <sz val="12"/>
      <color rgb="FF232A31"/>
      <name val="Calibri"/>
      <family val="2"/>
      <scheme val="minor"/>
    </font>
    <font>
      <sz val="12"/>
      <color rgb="FF000000"/>
      <name val="Calibri"/>
      <family val="2"/>
      <scheme val="minor"/>
    </font>
    <font>
      <b/>
      <sz val="12"/>
      <color rgb="FF000000"/>
      <name val="Calibri"/>
      <family val="2"/>
      <scheme val="minor"/>
    </font>
    <font>
      <sz val="12"/>
      <color rgb="FF006100"/>
      <name val="Calibri"/>
      <family val="2"/>
      <scheme val="minor"/>
    </font>
    <font>
      <sz val="12"/>
      <color rgb="FFFF0000"/>
      <name val="Calibri"/>
      <family val="2"/>
      <scheme val="minor"/>
    </font>
    <font>
      <b/>
      <sz val="12"/>
      <color theme="1"/>
      <name val="Calibri"/>
      <family val="2"/>
      <scheme val="minor"/>
    </font>
    <font>
      <b/>
      <sz val="12"/>
      <color rgb="FF444444"/>
      <name val="Calibri"/>
      <family val="2"/>
      <scheme val="minor"/>
    </font>
    <font>
      <sz val="12"/>
      <color rgb="FF444444"/>
      <name val="Calibri"/>
      <family val="2"/>
      <scheme val="minor"/>
    </font>
    <font>
      <sz val="12"/>
      <color rgb="FF008000"/>
      <name val="Calibri"/>
      <family val="2"/>
      <scheme val="minor"/>
    </font>
    <font>
      <sz val="10"/>
      <color rgb="FF000000"/>
      <name val="Helvetica Neue"/>
      <family val="2"/>
    </font>
    <font>
      <i/>
      <sz val="10"/>
      <color rgb="FF000000"/>
      <name val="Arial"/>
      <family val="2"/>
    </font>
    <font>
      <sz val="11"/>
      <color theme="1"/>
      <name val="Calibri"/>
      <family val="2"/>
      <scheme val="minor"/>
    </font>
    <font>
      <sz val="12"/>
      <color rgb="FF000000"/>
      <name val="Calibri"/>
      <family val="2"/>
    </font>
    <font>
      <b/>
      <sz val="10"/>
      <color rgb="FF000000"/>
      <name val="Arial"/>
      <family val="2"/>
    </font>
    <font>
      <b/>
      <sz val="12"/>
      <color rgb="FFC00000"/>
      <name val="Calibri"/>
      <family val="2"/>
      <scheme val="minor"/>
    </font>
    <font>
      <sz val="12"/>
      <color rgb="FFC00000"/>
      <name val="Calibri"/>
      <family val="2"/>
      <scheme val="minor"/>
    </font>
    <font>
      <b/>
      <sz val="12"/>
      <color theme="6" tint="-0.499984740745262"/>
      <name val="Calibri"/>
      <family val="2"/>
      <scheme val="minor"/>
    </font>
    <font>
      <b/>
      <sz val="12"/>
      <color theme="7" tint="-0.499984740745262"/>
      <name val="Calibri"/>
      <family val="2"/>
      <scheme val="minor"/>
    </font>
    <font>
      <b/>
      <sz val="12"/>
      <color theme="8" tint="-0.499984740745262"/>
      <name val="Calibri"/>
      <family val="2"/>
      <scheme val="minor"/>
    </font>
    <font>
      <b/>
      <sz val="12"/>
      <color theme="9" tint="-0.499984740745262"/>
      <name val="Calibri"/>
      <family val="2"/>
      <scheme val="minor"/>
    </font>
    <font>
      <b/>
      <sz val="10"/>
      <color theme="8" tint="-0.499984740745262"/>
      <name val="Arial"/>
      <family val="2"/>
    </font>
    <font>
      <sz val="12"/>
      <color theme="8" tint="-0.499984740745262"/>
      <name val="Calibri"/>
      <family val="2"/>
      <scheme val="minor"/>
    </font>
    <font>
      <sz val="11"/>
      <color rgb="FF000000"/>
      <name val="Calibri"/>
      <family val="2"/>
      <scheme val="minor"/>
    </font>
    <font>
      <b/>
      <sz val="11"/>
      <color theme="1"/>
      <name val="Calibri"/>
      <family val="2"/>
      <scheme val="minor"/>
    </font>
    <font>
      <b/>
      <sz val="11"/>
      <color theme="6" tint="-0.499984740745262"/>
      <name val="Calibri"/>
      <family val="2"/>
      <scheme val="minor"/>
    </font>
    <font>
      <b/>
      <sz val="11"/>
      <color rgb="FF000000"/>
      <name val="Calibri"/>
      <family val="2"/>
      <scheme val="minor"/>
    </font>
    <font>
      <b/>
      <sz val="11"/>
      <color theme="8" tint="-0.499984740745262"/>
      <name val="Calibri"/>
      <family val="2"/>
      <scheme val="minor"/>
    </font>
    <font>
      <sz val="11"/>
      <color theme="8" tint="-0.499984740745262"/>
      <name val="Calibri"/>
      <family val="2"/>
      <scheme val="minor"/>
    </font>
    <font>
      <b/>
      <sz val="12"/>
      <color rgb="FFFF0000"/>
      <name val="Calibri"/>
      <family val="2"/>
      <scheme val="minor"/>
    </font>
    <font>
      <b/>
      <sz val="11"/>
      <color theme="7" tint="-0.499984740745262"/>
      <name val="Calibri"/>
      <family val="2"/>
      <scheme val="minor"/>
    </font>
    <font>
      <b/>
      <sz val="12"/>
      <color theme="5" tint="-0.499984740745262"/>
      <name val="Calibri"/>
      <family val="2"/>
      <scheme val="minor"/>
    </font>
    <font>
      <sz val="11"/>
      <color rgb="FF333333"/>
      <name val="Calibri"/>
      <family val="2"/>
      <scheme val="minor"/>
    </font>
    <font>
      <b/>
      <sz val="10"/>
      <color theme="5" tint="-0.499984740745262"/>
      <name val="Arial"/>
      <family val="2"/>
    </font>
    <font>
      <b/>
      <sz val="11"/>
      <color theme="9" tint="-0.499984740745262"/>
      <name val="Calibri"/>
      <family val="2"/>
      <scheme val="minor"/>
    </font>
    <font>
      <b/>
      <sz val="11"/>
      <color rgb="FFC00000"/>
      <name val="Calibri (Body)"/>
    </font>
    <font>
      <sz val="11"/>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C6EFCE"/>
      </patternFill>
    </fill>
    <fill>
      <patternFill patternType="solid">
        <fgColor rgb="FFFFFDA9"/>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C6EFCE"/>
        <bgColor indexed="64"/>
      </patternFill>
    </fill>
    <fill>
      <patternFill patternType="solid">
        <fgColor rgb="FFFFFED6"/>
        <bgColor indexed="64"/>
      </patternFill>
    </fill>
    <fill>
      <patternFill patternType="solid">
        <fgColor theme="5"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3" fillId="0" borderId="0" applyFont="0" applyFill="0" applyBorder="0" applyAlignment="0" applyProtection="0"/>
    <xf numFmtId="0" fontId="7" fillId="7" borderId="0" applyNumberFormat="0" applyBorder="0" applyAlignment="0" applyProtection="0"/>
  </cellStyleXfs>
  <cellXfs count="174">
    <xf numFmtId="0" fontId="0" fillId="0" borderId="0" xfId="0"/>
    <xf numFmtId="14" fontId="5" fillId="0" borderId="0" xfId="0" applyNumberFormat="1" applyFont="1" applyAlignment="1">
      <alignment horizontal="center" vertical="center"/>
    </xf>
    <xf numFmtId="0" fontId="5" fillId="0" borderId="0" xfId="0" applyFont="1" applyAlignment="1">
      <alignment horizontal="center" vertical="center"/>
    </xf>
    <xf numFmtId="10" fontId="5" fillId="2" borderId="0" xfId="0" applyNumberFormat="1" applyFont="1" applyFill="1" applyAlignment="1">
      <alignment horizontal="center" vertical="center"/>
    </xf>
    <xf numFmtId="10" fontId="5" fillId="2" borderId="0" xfId="1" applyNumberFormat="1" applyFont="1" applyFill="1" applyAlignment="1">
      <alignment horizontal="center" vertical="center"/>
    </xf>
    <xf numFmtId="0" fontId="5" fillId="0" borderId="0" xfId="0" applyNumberFormat="1" applyFont="1" applyAlignment="1">
      <alignment horizontal="center" vertical="center"/>
    </xf>
    <xf numFmtId="0" fontId="6" fillId="3" borderId="0" xfId="0" applyFont="1" applyFill="1" applyAlignment="1">
      <alignment horizontal="center" vertical="center"/>
    </xf>
    <xf numFmtId="0" fontId="6" fillId="0" borderId="0" xfId="0" applyFont="1"/>
    <xf numFmtId="0" fontId="5" fillId="0" borderId="0" xfId="0" applyFont="1"/>
    <xf numFmtId="10" fontId="5" fillId="0" borderId="0" xfId="1" applyNumberFormat="1" applyFont="1"/>
    <xf numFmtId="0" fontId="9" fillId="3" borderId="0" xfId="0" applyNumberFormat="1" applyFont="1" applyFill="1" applyAlignment="1">
      <alignment horizontal="center" vertical="center"/>
    </xf>
    <xf numFmtId="0" fontId="9" fillId="3" borderId="0" xfId="0" applyFont="1" applyFill="1" applyAlignment="1">
      <alignment horizontal="center" vertical="center"/>
    </xf>
    <xf numFmtId="0" fontId="6" fillId="2" borderId="0" xfId="0" applyFont="1" applyFill="1" applyAlignment="1">
      <alignment horizontal="center" vertical="center"/>
    </xf>
    <xf numFmtId="0" fontId="5" fillId="0" borderId="0" xfId="0" applyFont="1" applyFill="1" applyAlignment="1">
      <alignment horizontal="center" vertical="center"/>
    </xf>
    <xf numFmtId="10" fontId="5" fillId="0" borderId="0" xfId="1" applyNumberFormat="1" applyFont="1" applyAlignment="1">
      <alignment horizontal="center" vertical="center"/>
    </xf>
    <xf numFmtId="10" fontId="5" fillId="0" borderId="0" xfId="0" applyNumberFormat="1" applyFont="1" applyAlignment="1">
      <alignment horizontal="center" vertical="center"/>
    </xf>
    <xf numFmtId="10" fontId="5" fillId="0" borderId="0" xfId="0" applyNumberFormat="1" applyFont="1" applyFill="1" applyAlignment="1">
      <alignment horizontal="center" vertical="center"/>
    </xf>
    <xf numFmtId="0" fontId="11" fillId="0" borderId="0" xfId="0" applyFont="1" applyAlignment="1">
      <alignment horizontal="center" vertical="center"/>
    </xf>
    <xf numFmtId="10" fontId="11" fillId="0" borderId="0" xfId="0" applyNumberFormat="1" applyFont="1" applyAlignment="1">
      <alignment horizontal="center" vertical="center"/>
    </xf>
    <xf numFmtId="10" fontId="8" fillId="0" borderId="0" xfId="1" applyNumberFormat="1" applyFont="1" applyAlignment="1">
      <alignment horizontal="center" vertical="center"/>
    </xf>
    <xf numFmtId="10" fontId="12" fillId="0" borderId="0" xfId="1" applyNumberFormat="1" applyFont="1" applyAlignment="1">
      <alignment horizontal="center" vertical="center"/>
    </xf>
    <xf numFmtId="0" fontId="10" fillId="0" borderId="0" xfId="0" applyFont="1" applyFill="1" applyAlignment="1">
      <alignment horizontal="center" vertical="center"/>
    </xf>
    <xf numFmtId="2" fontId="5" fillId="0" borderId="0" xfId="0" applyNumberFormat="1" applyFont="1"/>
    <xf numFmtId="2" fontId="11" fillId="0" borderId="0" xfId="0" applyNumberFormat="1" applyFont="1"/>
    <xf numFmtId="10" fontId="12" fillId="0" borderId="0" xfId="1" applyNumberFormat="1" applyFont="1"/>
    <xf numFmtId="10" fontId="8" fillId="0" borderId="0" xfId="1" applyNumberFormat="1" applyFont="1"/>
    <xf numFmtId="0" fontId="10" fillId="0" borderId="0" xfId="0" applyFont="1" applyAlignment="1">
      <alignment horizontal="center" vertical="center" wrapText="1"/>
    </xf>
    <xf numFmtId="2" fontId="11" fillId="0" borderId="0" xfId="0" applyNumberFormat="1" applyFont="1" applyAlignment="1">
      <alignment horizontal="center" vertical="center"/>
    </xf>
    <xf numFmtId="10" fontId="4" fillId="2" borderId="0" xfId="1" applyNumberFormat="1" applyFont="1" applyFill="1" applyAlignment="1">
      <alignment horizontal="center" vertical="center"/>
    </xf>
    <xf numFmtId="166" fontId="4" fillId="4" borderId="0" xfId="1" applyNumberFormat="1" applyFont="1" applyFill="1" applyAlignment="1">
      <alignment horizontal="center" vertical="center"/>
    </xf>
    <xf numFmtId="166" fontId="5" fillId="4" borderId="0" xfId="0" applyNumberFormat="1" applyFont="1" applyFill="1" applyAlignment="1">
      <alignment horizontal="center" vertical="center"/>
    </xf>
    <xf numFmtId="0" fontId="13" fillId="0" borderId="0" xfId="0" applyFont="1" applyAlignment="1">
      <alignment horizontal="center" vertical="center"/>
    </xf>
    <xf numFmtId="10" fontId="5" fillId="0" borderId="0" xfId="1" applyNumberFormat="1" applyFont="1" applyFill="1" applyAlignment="1">
      <alignment horizontal="center" vertical="center"/>
    </xf>
    <xf numFmtId="167" fontId="0" fillId="6" borderId="0" xfId="0" applyNumberFormat="1" applyFill="1" applyAlignment="1">
      <alignment horizontal="center" vertical="center"/>
    </xf>
    <xf numFmtId="4" fontId="2" fillId="0" borderId="0" xfId="0" applyNumberFormat="1" applyFont="1" applyAlignment="1">
      <alignment horizontal="center" vertical="center"/>
    </xf>
    <xf numFmtId="4" fontId="15" fillId="0" borderId="0" xfId="0" applyNumberFormat="1" applyFont="1" applyAlignment="1">
      <alignment horizontal="center" vertical="center"/>
    </xf>
    <xf numFmtId="2" fontId="5" fillId="0" borderId="0" xfId="0" applyNumberFormat="1" applyFont="1" applyAlignment="1">
      <alignment horizontal="center" vertical="center"/>
    </xf>
    <xf numFmtId="0" fontId="6" fillId="0" borderId="0" xfId="0" applyFont="1" applyFill="1" applyAlignment="1">
      <alignment horizontal="center" vertical="center"/>
    </xf>
    <xf numFmtId="0" fontId="5" fillId="0" borderId="0" xfId="0" applyFont="1" applyAlignment="1">
      <alignment horizontal="center" vertical="center"/>
    </xf>
    <xf numFmtId="10" fontId="2" fillId="0" borderId="0" xfId="1" applyNumberFormat="1" applyFont="1" applyAlignment="1">
      <alignment horizontal="center" vertical="center"/>
    </xf>
    <xf numFmtId="10" fontId="2" fillId="0" borderId="0" xfId="1" applyNumberFormat="1" applyFont="1" applyFill="1" applyAlignment="1">
      <alignment horizontal="center" vertical="center"/>
    </xf>
    <xf numFmtId="0" fontId="0" fillId="0" borderId="0" xfId="0" applyAlignment="1">
      <alignment horizontal="center" vertical="center"/>
    </xf>
    <xf numFmtId="0" fontId="14" fillId="0" borderId="2" xfId="0" applyFont="1" applyFill="1" applyBorder="1" applyAlignment="1">
      <alignment horizontal="center"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10" fontId="16" fillId="0" borderId="0" xfId="0" applyNumberFormat="1" applyFont="1" applyAlignment="1">
      <alignment horizontal="center" vertical="center"/>
    </xf>
    <xf numFmtId="10" fontId="5" fillId="0" borderId="0" xfId="1" applyNumberFormat="1" applyFont="1" applyAlignment="1">
      <alignment horizontal="center" vertical="center"/>
    </xf>
    <xf numFmtId="0" fontId="22" fillId="2" borderId="0" xfId="0" applyFont="1" applyFill="1" applyAlignment="1">
      <alignment horizontal="center" vertical="center" wrapText="1"/>
    </xf>
    <xf numFmtId="2" fontId="9" fillId="3" borderId="0" xfId="0" applyNumberFormat="1" applyFont="1" applyFill="1" applyAlignment="1">
      <alignment horizontal="center" vertical="center"/>
    </xf>
    <xf numFmtId="0" fontId="1" fillId="0" borderId="0" xfId="0" applyFont="1"/>
    <xf numFmtId="0" fontId="24" fillId="2" borderId="0" xfId="0" applyFont="1" applyFill="1" applyAlignment="1">
      <alignment horizontal="center" vertical="center"/>
    </xf>
    <xf numFmtId="0" fontId="25" fillId="0" borderId="0" xfId="0" applyFont="1" applyFill="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10" borderId="0" xfId="0" applyFont="1" applyFill="1" applyAlignment="1">
      <alignment horizontal="center" vertical="center" wrapText="1"/>
    </xf>
    <xf numFmtId="0" fontId="27" fillId="10" borderId="0" xfId="0" applyFont="1" applyFill="1" applyAlignment="1">
      <alignment horizontal="center" vertical="center"/>
    </xf>
    <xf numFmtId="0" fontId="29" fillId="0" borderId="0" xfId="0" applyFont="1" applyAlignment="1">
      <alignment horizontal="center" vertical="center"/>
    </xf>
    <xf numFmtId="0" fontId="30" fillId="2" borderId="0" xfId="0" applyFont="1" applyFill="1" applyAlignment="1">
      <alignment horizontal="center" vertical="center" wrapText="1"/>
    </xf>
    <xf numFmtId="166" fontId="26" fillId="0" borderId="0" xfId="0" applyNumberFormat="1" applyFont="1" applyAlignment="1">
      <alignment horizontal="center" vertical="center"/>
    </xf>
    <xf numFmtId="0" fontId="26" fillId="0" borderId="0" xfId="0" applyFont="1" applyAlignment="1">
      <alignment horizontal="center" vertical="center" wrapText="1"/>
    </xf>
    <xf numFmtId="0" fontId="29" fillId="0" borderId="0" xfId="0" applyFont="1" applyAlignment="1">
      <alignment horizontal="center" vertical="center" wrapText="1"/>
    </xf>
    <xf numFmtId="0" fontId="29" fillId="10" borderId="0" xfId="0" applyFont="1" applyFill="1" applyAlignment="1">
      <alignment horizontal="center" vertical="center" wrapText="1"/>
    </xf>
    <xf numFmtId="10" fontId="26" fillId="0" borderId="0" xfId="1" applyNumberFormat="1" applyFont="1" applyAlignment="1">
      <alignment horizontal="center" vertical="center"/>
    </xf>
    <xf numFmtId="165" fontId="26" fillId="0" borderId="0" xfId="0" applyNumberFormat="1" applyFont="1" applyAlignment="1">
      <alignment horizontal="center" vertical="center"/>
    </xf>
    <xf numFmtId="0" fontId="30" fillId="2" borderId="0" xfId="0" applyFont="1" applyFill="1" applyAlignment="1">
      <alignment horizontal="center" vertical="center"/>
    </xf>
    <xf numFmtId="1" fontId="26" fillId="0" borderId="0" xfId="0" applyNumberFormat="1" applyFont="1" applyAlignment="1">
      <alignment horizontal="center" vertical="center"/>
    </xf>
    <xf numFmtId="0" fontId="26" fillId="0" borderId="0" xfId="0" applyNumberFormat="1" applyFont="1" applyAlignment="1">
      <alignment horizontal="center" vertical="center"/>
    </xf>
    <xf numFmtId="2" fontId="26" fillId="0" borderId="0" xfId="0" applyNumberFormat="1" applyFont="1" applyAlignment="1">
      <alignment horizontal="center" vertical="center"/>
    </xf>
    <xf numFmtId="0" fontId="26" fillId="6" borderId="0" xfId="0" applyFont="1" applyFill="1" applyAlignment="1">
      <alignment horizontal="center" vertical="center"/>
    </xf>
    <xf numFmtId="10" fontId="26" fillId="0" borderId="0" xfId="0" applyNumberFormat="1" applyFont="1" applyAlignment="1">
      <alignment horizontal="center" vertical="center"/>
    </xf>
    <xf numFmtId="0" fontId="31" fillId="0" borderId="0" xfId="0" applyFont="1" applyAlignment="1">
      <alignment horizontal="center" vertical="center"/>
    </xf>
    <xf numFmtId="9" fontId="26" fillId="0" borderId="0" xfId="0" applyNumberFormat="1" applyFont="1" applyAlignment="1">
      <alignment horizontal="center" vertical="center"/>
    </xf>
    <xf numFmtId="0" fontId="30" fillId="2" borderId="0" xfId="0" applyFont="1" applyFill="1" applyAlignment="1">
      <alignment horizontal="center" vertical="center"/>
    </xf>
    <xf numFmtId="1" fontId="26" fillId="2" borderId="0" xfId="0" applyNumberFormat="1" applyFont="1" applyFill="1" applyAlignment="1">
      <alignment horizontal="center" vertical="center"/>
    </xf>
    <xf numFmtId="0" fontId="31" fillId="0" borderId="0" xfId="0" applyFont="1"/>
    <xf numFmtId="0" fontId="30" fillId="0" borderId="0" xfId="0" applyFont="1" applyAlignment="1">
      <alignment horizontal="center" vertical="center"/>
    </xf>
    <xf numFmtId="0" fontId="30" fillId="2" borderId="0" xfId="0" applyFont="1" applyFill="1" applyAlignment="1">
      <alignment horizontal="center" vertical="center" wrapText="1"/>
    </xf>
    <xf numFmtId="0" fontId="26" fillId="2" borderId="0" xfId="0" applyFont="1" applyFill="1" applyAlignment="1">
      <alignment horizontal="center" vertical="center"/>
    </xf>
    <xf numFmtId="0" fontId="31" fillId="0" borderId="0" xfId="0" applyFont="1" applyFill="1" applyAlignment="1">
      <alignment horizontal="center" vertical="center"/>
    </xf>
    <xf numFmtId="0" fontId="26" fillId="0" borderId="0" xfId="0" applyFont="1" applyFill="1" applyAlignment="1">
      <alignment horizontal="center" vertical="center"/>
    </xf>
    <xf numFmtId="0" fontId="26" fillId="3" borderId="0" xfId="0" applyFont="1" applyFill="1" applyAlignment="1">
      <alignment horizontal="center" vertical="center"/>
    </xf>
    <xf numFmtId="3" fontId="26" fillId="0" borderId="0" xfId="0" applyNumberFormat="1" applyFont="1" applyAlignment="1">
      <alignment horizontal="center" vertical="center"/>
    </xf>
    <xf numFmtId="164" fontId="26" fillId="0" borderId="0" xfId="0" applyNumberFormat="1" applyFont="1" applyAlignment="1">
      <alignment horizontal="center" vertical="center"/>
    </xf>
    <xf numFmtId="0" fontId="28" fillId="0" borderId="0" xfId="0" applyFont="1" applyFill="1" applyAlignment="1">
      <alignment horizontal="center" vertical="center" wrapText="1"/>
    </xf>
    <xf numFmtId="0" fontId="30" fillId="2" borderId="0" xfId="0" applyFont="1" applyFill="1" applyAlignment="1">
      <alignment horizontal="center" vertical="center"/>
    </xf>
    <xf numFmtId="0" fontId="17" fillId="2" borderId="0" xfId="0" applyFont="1" applyFill="1" applyAlignment="1">
      <alignment horizontal="center" vertical="center"/>
    </xf>
    <xf numFmtId="0" fontId="32" fillId="0" borderId="0" xfId="0" applyFont="1" applyFill="1" applyBorder="1" applyAlignment="1"/>
    <xf numFmtId="0" fontId="18" fillId="0" borderId="0" xfId="0" applyFont="1" applyFill="1" applyBorder="1" applyAlignment="1"/>
    <xf numFmtId="0" fontId="29" fillId="0" borderId="0" xfId="0" applyFont="1" applyFill="1" applyAlignment="1">
      <alignment horizontal="center" vertical="center" wrapText="1"/>
    </xf>
    <xf numFmtId="0" fontId="29" fillId="0" borderId="0" xfId="0" applyFont="1" applyFill="1" applyAlignment="1">
      <alignment horizontal="center" vertical="center"/>
    </xf>
    <xf numFmtId="1" fontId="26" fillId="0" borderId="0" xfId="0" applyNumberFormat="1" applyFont="1" applyFill="1" applyAlignment="1">
      <alignment horizontal="center" vertical="center"/>
    </xf>
    <xf numFmtId="0" fontId="26" fillId="12" borderId="0" xfId="0" applyFont="1" applyFill="1" applyAlignment="1">
      <alignment horizontal="center" vertical="center"/>
    </xf>
    <xf numFmtId="10" fontId="26" fillId="12" borderId="0" xfId="1" applyNumberFormat="1" applyFont="1" applyFill="1" applyAlignment="1">
      <alignment horizontal="center" vertical="center"/>
    </xf>
    <xf numFmtId="0" fontId="30" fillId="12" borderId="0" xfId="0" applyFont="1" applyFill="1" applyAlignment="1">
      <alignment horizontal="center" vertical="center"/>
    </xf>
    <xf numFmtId="0" fontId="28" fillId="0" borderId="0" xfId="0" applyFont="1" applyFill="1" applyAlignment="1">
      <alignment horizontal="center" vertical="center"/>
    </xf>
    <xf numFmtId="0" fontId="5" fillId="0" borderId="0" xfId="0" applyFont="1" applyFill="1"/>
    <xf numFmtId="10" fontId="5" fillId="0" borderId="0" xfId="0" applyNumberFormat="1" applyFont="1" applyFill="1" applyAlignment="1">
      <alignment horizontal="center"/>
    </xf>
    <xf numFmtId="0" fontId="22" fillId="0" borderId="0" xfId="0" applyFont="1" applyFill="1" applyAlignment="1">
      <alignment horizontal="center"/>
    </xf>
    <xf numFmtId="0" fontId="19" fillId="0" borderId="0" xfId="0" applyFont="1" applyFill="1" applyAlignment="1">
      <alignment horizontal="center" vertical="center"/>
    </xf>
    <xf numFmtId="168" fontId="5" fillId="0" borderId="0" xfId="0" applyNumberFormat="1" applyFont="1" applyFill="1" applyAlignment="1">
      <alignment horizontal="center" vertical="center"/>
    </xf>
    <xf numFmtId="0" fontId="22" fillId="2" borderId="0" xfId="0" applyFont="1" applyFill="1" applyAlignment="1">
      <alignment horizontal="center" vertical="center"/>
    </xf>
    <xf numFmtId="0" fontId="0" fillId="6" borderId="1" xfId="0" applyFill="1" applyBorder="1" applyAlignment="1">
      <alignment horizontal="center" vertical="center"/>
    </xf>
    <xf numFmtId="0" fontId="20" fillId="0" borderId="0" xfId="0" applyFont="1" applyFill="1" applyAlignment="1">
      <alignment vertical="center"/>
    </xf>
    <xf numFmtId="0" fontId="21" fillId="0" borderId="0" xfId="0" applyFont="1" applyFill="1" applyAlignment="1">
      <alignment vertical="center"/>
    </xf>
    <xf numFmtId="0" fontId="22" fillId="12" borderId="0" xfId="0" applyFont="1" applyFill="1" applyAlignment="1">
      <alignment horizontal="center" vertical="center"/>
    </xf>
    <xf numFmtId="0" fontId="22" fillId="0" borderId="0" xfId="0" applyFont="1" applyFill="1" applyAlignment="1">
      <alignment vertical="center"/>
    </xf>
    <xf numFmtId="10" fontId="11" fillId="2" borderId="0" xfId="0" applyNumberFormat="1" applyFont="1" applyFill="1" applyAlignment="1">
      <alignment horizontal="center" vertical="center"/>
    </xf>
    <xf numFmtId="165" fontId="26" fillId="0" borderId="0" xfId="0" applyNumberFormat="1" applyFont="1" applyFill="1" applyAlignment="1">
      <alignment horizontal="center" vertical="center"/>
    </xf>
    <xf numFmtId="167" fontId="26" fillId="0" borderId="0" xfId="0" applyNumberFormat="1" applyFont="1" applyAlignment="1">
      <alignment horizontal="center" vertical="center"/>
    </xf>
    <xf numFmtId="166" fontId="26" fillId="0" borderId="0" xfId="1" applyNumberFormat="1" applyFont="1" applyAlignment="1">
      <alignment horizontal="center" vertical="center"/>
    </xf>
    <xf numFmtId="169" fontId="26" fillId="0" borderId="0" xfId="0" applyNumberFormat="1" applyFont="1" applyAlignment="1">
      <alignment horizontal="center" vertical="center"/>
    </xf>
    <xf numFmtId="10" fontId="26" fillId="0" borderId="0" xfId="0" applyNumberFormat="1" applyFont="1" applyFill="1" applyAlignment="1">
      <alignment horizontal="center" vertical="center"/>
    </xf>
    <xf numFmtId="168" fontId="35" fillId="0" borderId="0" xfId="0" applyNumberFormat="1" applyFont="1" applyAlignment="1">
      <alignment horizontal="center" vertical="center"/>
    </xf>
    <xf numFmtId="10" fontId="5" fillId="0" borderId="0" xfId="0" applyNumberFormat="1" applyFont="1"/>
    <xf numFmtId="0" fontId="17" fillId="0" borderId="0" xfId="0" applyFont="1" applyAlignment="1"/>
    <xf numFmtId="0" fontId="37" fillId="10" borderId="0" xfId="0" applyFont="1" applyFill="1" applyAlignment="1">
      <alignment horizontal="center" vertical="center"/>
    </xf>
    <xf numFmtId="10" fontId="26" fillId="12" borderId="0" xfId="0" applyNumberFormat="1" applyFont="1" applyFill="1" applyAlignment="1">
      <alignment horizontal="center" vertical="center"/>
    </xf>
    <xf numFmtId="0" fontId="28" fillId="0" borderId="0" xfId="0" applyFont="1" applyFill="1" applyAlignment="1">
      <alignment vertical="center"/>
    </xf>
    <xf numFmtId="168" fontId="26" fillId="12" borderId="0" xfId="1" applyNumberFormat="1" applyFont="1" applyFill="1" applyAlignment="1">
      <alignment horizontal="center" vertical="center"/>
    </xf>
    <xf numFmtId="10" fontId="11" fillId="2" borderId="0" xfId="1" applyNumberFormat="1" applyFont="1" applyFill="1" applyAlignment="1">
      <alignment horizontal="center" vertical="center"/>
    </xf>
    <xf numFmtId="0" fontId="30" fillId="12" borderId="0" xfId="0" applyFont="1" applyFill="1" applyAlignment="1">
      <alignment horizontal="center" vertical="center"/>
    </xf>
    <xf numFmtId="0" fontId="26" fillId="0" borderId="0" xfId="0" applyFont="1" applyAlignment="1">
      <alignment horizontal="center" vertical="center"/>
    </xf>
    <xf numFmtId="0" fontId="39" fillId="0" borderId="0" xfId="0" applyFont="1" applyAlignment="1">
      <alignment horizontal="center" vertical="center"/>
    </xf>
    <xf numFmtId="1" fontId="39" fillId="0" borderId="0" xfId="0" applyNumberFormat="1" applyFont="1" applyAlignment="1">
      <alignment horizontal="center" vertical="center"/>
    </xf>
    <xf numFmtId="9" fontId="39" fillId="0" borderId="0" xfId="0" applyNumberFormat="1" applyFont="1" applyAlignment="1">
      <alignment horizontal="center" vertical="center"/>
    </xf>
    <xf numFmtId="168" fontId="39" fillId="0" borderId="0" xfId="0" applyNumberFormat="1" applyFont="1" applyAlignment="1">
      <alignment horizontal="center" vertical="center"/>
    </xf>
    <xf numFmtId="0" fontId="39" fillId="0" borderId="0" xfId="0" applyNumberFormat="1" applyFont="1" applyAlignment="1">
      <alignment horizontal="center" vertical="center"/>
    </xf>
    <xf numFmtId="0" fontId="27" fillId="0" borderId="0" xfId="0" applyFont="1" applyFill="1" applyAlignment="1">
      <alignment horizontal="center" vertical="center"/>
    </xf>
    <xf numFmtId="10" fontId="11" fillId="0" borderId="0" xfId="1" applyNumberFormat="1" applyFont="1" applyAlignment="1">
      <alignment horizontal="center" vertical="center"/>
    </xf>
    <xf numFmtId="0" fontId="31" fillId="0" borderId="0" xfId="0" applyFont="1" applyAlignment="1">
      <alignment horizontal="center" vertical="center" wrapText="1"/>
    </xf>
    <xf numFmtId="0" fontId="29" fillId="10" borderId="0" xfId="0" applyFont="1" applyFill="1" applyAlignment="1">
      <alignment horizontal="center" vertical="center"/>
    </xf>
    <xf numFmtId="168" fontId="26" fillId="12" borderId="0" xfId="0" applyNumberFormat="1" applyFont="1" applyFill="1" applyAlignment="1">
      <alignment horizontal="center" vertical="center"/>
    </xf>
    <xf numFmtId="10" fontId="30" fillId="12" borderId="0" xfId="0" applyNumberFormat="1" applyFont="1" applyFill="1" applyAlignment="1">
      <alignment horizontal="center" vertical="center"/>
    </xf>
    <xf numFmtId="0" fontId="33" fillId="4" borderId="0" xfId="0" applyFont="1" applyFill="1" applyAlignment="1">
      <alignment horizontal="center" vertical="center"/>
    </xf>
    <xf numFmtId="0" fontId="28" fillId="5" borderId="0" xfId="0" applyFont="1" applyFill="1" applyAlignment="1">
      <alignment horizontal="center" vertical="center"/>
    </xf>
    <xf numFmtId="0" fontId="36" fillId="13" borderId="0" xfId="0" applyFont="1" applyFill="1" applyAlignment="1">
      <alignment horizontal="center"/>
    </xf>
    <xf numFmtId="0" fontId="28" fillId="11" borderId="0" xfId="0" applyFont="1" applyFill="1" applyAlignment="1">
      <alignment horizontal="center" vertical="center"/>
    </xf>
    <xf numFmtId="0" fontId="28" fillId="5" borderId="0" xfId="0" applyFont="1" applyFill="1" applyAlignment="1">
      <alignment horizontal="center" vertical="center" wrapText="1"/>
    </xf>
    <xf numFmtId="0" fontId="30" fillId="12" borderId="0" xfId="0" applyFont="1" applyFill="1" applyAlignment="1">
      <alignment horizontal="center" vertical="center" wrapText="1"/>
    </xf>
    <xf numFmtId="0" fontId="26" fillId="0" borderId="0" xfId="0" applyFont="1" applyAlignment="1">
      <alignment horizontal="center" vertical="center"/>
    </xf>
    <xf numFmtId="0" fontId="30" fillId="2" borderId="0" xfId="0" applyFont="1" applyFill="1" applyAlignment="1">
      <alignment horizontal="center" vertical="center"/>
    </xf>
    <xf numFmtId="0" fontId="28" fillId="7" borderId="0" xfId="2" applyFont="1" applyAlignment="1">
      <alignment horizontal="center" vertical="center"/>
    </xf>
    <xf numFmtId="0" fontId="30" fillId="12" borderId="0" xfId="0" applyFont="1" applyFill="1" applyAlignment="1">
      <alignment horizontal="center" vertical="center"/>
    </xf>
    <xf numFmtId="0" fontId="34" fillId="13" borderId="0" xfId="0" applyFont="1" applyFill="1" applyAlignment="1">
      <alignment horizontal="center" vertical="center"/>
    </xf>
    <xf numFmtId="0" fontId="22" fillId="2" borderId="0" xfId="0" applyFont="1" applyFill="1" applyAlignment="1">
      <alignment horizontal="center" vertical="center" wrapText="1"/>
    </xf>
    <xf numFmtId="10" fontId="5" fillId="0" borderId="0" xfId="1" applyNumberFormat="1" applyFont="1" applyAlignment="1">
      <alignment horizontal="center" vertical="center"/>
    </xf>
    <xf numFmtId="0" fontId="21" fillId="4" borderId="0" xfId="0" applyFont="1" applyFill="1" applyAlignment="1">
      <alignment horizontal="center" vertical="center"/>
    </xf>
    <xf numFmtId="0" fontId="6" fillId="9" borderId="0" xfId="0" applyFont="1" applyFill="1" applyAlignment="1">
      <alignment horizontal="center"/>
    </xf>
    <xf numFmtId="0" fontId="32" fillId="0" borderId="0" xfId="0" applyFont="1" applyFill="1" applyBorder="1" applyAlignment="1">
      <alignment horizontal="center"/>
    </xf>
    <xf numFmtId="0" fontId="19" fillId="0" borderId="0" xfId="0" applyFont="1" applyFill="1" applyAlignment="1">
      <alignment horizontal="center" vertical="center" wrapText="1"/>
    </xf>
    <xf numFmtId="0" fontId="25" fillId="0" borderId="0" xfId="0" applyFont="1" applyFill="1" applyAlignment="1">
      <alignment horizontal="center" vertical="center" wrapText="1"/>
    </xf>
    <xf numFmtId="0" fontId="20" fillId="11" borderId="0" xfId="0" applyFont="1" applyFill="1" applyAlignment="1">
      <alignment horizontal="center" vertical="center" wrapText="1"/>
    </xf>
    <xf numFmtId="0" fontId="23" fillId="3" borderId="0" xfId="0" applyFont="1" applyFill="1" applyAlignment="1">
      <alignment horizontal="center" vertical="center" wrapText="1"/>
    </xf>
    <xf numFmtId="0" fontId="21" fillId="0" borderId="0" xfId="0" applyFont="1" applyFill="1" applyAlignment="1">
      <alignment horizontal="center" vertical="center"/>
    </xf>
    <xf numFmtId="0" fontId="25" fillId="0" borderId="0" xfId="0" applyFont="1" applyFill="1" applyAlignment="1">
      <alignment horizontal="center" vertical="center"/>
    </xf>
    <xf numFmtId="0" fontId="18" fillId="8" borderId="0" xfId="0" applyFont="1" applyFill="1" applyAlignment="1">
      <alignment horizontal="center" wrapText="1"/>
    </xf>
    <xf numFmtId="0" fontId="6" fillId="2" borderId="0" xfId="0" applyFont="1" applyFill="1" applyAlignment="1">
      <alignment horizontal="center" vertical="center" wrapText="1"/>
    </xf>
    <xf numFmtId="10" fontId="5" fillId="2" borderId="0" xfId="1" applyNumberFormat="1" applyFont="1" applyFill="1" applyAlignment="1">
      <alignment horizontal="center" vertical="center"/>
    </xf>
    <xf numFmtId="0" fontId="6" fillId="2" borderId="0" xfId="0" applyFont="1" applyFill="1" applyAlignment="1">
      <alignment horizontal="center" vertical="center"/>
    </xf>
    <xf numFmtId="0" fontId="6" fillId="5" borderId="0" xfId="0" applyFont="1" applyFill="1" applyAlignment="1">
      <alignment horizontal="center"/>
    </xf>
    <xf numFmtId="0" fontId="6" fillId="4" borderId="0" xfId="0" applyFont="1" applyFill="1" applyAlignment="1">
      <alignment horizontal="center" vertical="center"/>
    </xf>
    <xf numFmtId="2" fontId="22" fillId="12" borderId="0" xfId="0" applyNumberFormat="1" applyFont="1" applyFill="1" applyAlignment="1">
      <alignment horizontal="center"/>
    </xf>
    <xf numFmtId="0" fontId="22" fillId="0" borderId="0" xfId="0" applyFont="1" applyAlignment="1">
      <alignment horizontal="center" vertical="center"/>
    </xf>
    <xf numFmtId="10" fontId="11" fillId="2" borderId="0" xfId="1" applyNumberFormat="1" applyFont="1" applyFill="1" applyAlignment="1">
      <alignment horizontal="center" vertical="center"/>
    </xf>
    <xf numFmtId="0" fontId="10" fillId="11" borderId="0" xfId="0" applyFont="1" applyFill="1" applyAlignment="1">
      <alignment horizontal="center" vertical="center" wrapText="1"/>
    </xf>
    <xf numFmtId="0" fontId="10" fillId="4" borderId="0" xfId="0" applyFont="1" applyFill="1" applyAlignment="1">
      <alignment horizontal="center" vertical="center"/>
    </xf>
    <xf numFmtId="0" fontId="9" fillId="3" borderId="0" xfId="0" applyFont="1" applyFill="1" applyAlignment="1">
      <alignment horizontal="center" vertical="center"/>
    </xf>
    <xf numFmtId="2" fontId="9" fillId="3" borderId="0" xfId="0" applyNumberFormat="1" applyFont="1" applyFill="1" applyAlignment="1">
      <alignment horizontal="center" vertical="center"/>
    </xf>
    <xf numFmtId="10" fontId="9" fillId="3" borderId="0" xfId="1" applyNumberFormat="1" applyFont="1" applyFill="1" applyAlignment="1">
      <alignment horizontal="center" vertical="center" wrapText="1"/>
    </xf>
    <xf numFmtId="0" fontId="22" fillId="12" borderId="0" xfId="0" applyFont="1" applyFill="1" applyAlignment="1">
      <alignment horizontal="center" vertical="center" wrapText="1"/>
    </xf>
    <xf numFmtId="168" fontId="25" fillId="12" borderId="0" xfId="0" applyNumberFormat="1" applyFont="1" applyFill="1" applyAlignment="1">
      <alignment horizontal="center" vertical="center"/>
    </xf>
    <xf numFmtId="10" fontId="9" fillId="3" borderId="0" xfId="1" applyNumberFormat="1" applyFont="1" applyFill="1" applyAlignment="1">
      <alignment horizontal="center" vertical="center"/>
    </xf>
    <xf numFmtId="2" fontId="22" fillId="2" borderId="0" xfId="0" applyNumberFormat="1" applyFont="1" applyFill="1" applyAlignment="1">
      <alignment horizontal="center" wrapText="1"/>
    </xf>
    <xf numFmtId="10" fontId="25" fillId="2" borderId="0" xfId="1" applyNumberFormat="1" applyFont="1" applyFill="1" applyAlignment="1">
      <alignment horizontal="center" vertical="center"/>
    </xf>
  </cellXfs>
  <cellStyles count="3">
    <cellStyle name="Good" xfId="2" builtinId="26"/>
    <cellStyle name="Normal" xfId="0" builtinId="0"/>
    <cellStyle name="Percent" xfId="1" builtinId="5"/>
  </cellStyles>
  <dxfs count="0"/>
  <tableStyles count="0" defaultTableStyle="TableStyleMedium9"/>
  <colors>
    <mruColors>
      <color rgb="FFFFFED6"/>
      <color rgb="FFFFFDA9"/>
      <color rgb="FFFFFD78"/>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C4E9915D-7115-6E41-8214-7AAF4E0E07B6}"/>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70338</xdr:colOff>
      <xdr:row>0</xdr:row>
      <xdr:rowOff>46892</xdr:rowOff>
    </xdr:from>
    <xdr:ext cx="476250" cy="476250"/>
    <xdr:pic>
      <xdr:nvPicPr>
        <xdr:cNvPr id="2" name="Logo" descr="Logo">
          <a:extLst>
            <a:ext uri="{FF2B5EF4-FFF2-40B4-BE49-F238E27FC236}">
              <a16:creationId xmlns:a16="http://schemas.microsoft.com/office/drawing/2014/main" id="{F1B4F696-0F1F-874B-B537-945E70AF8EAE}"/>
            </a:ext>
          </a:extLst>
        </xdr:cNvPr>
        <xdr:cNvPicPr>
          <a:picLocks noChangeAspect="1"/>
        </xdr:cNvPicPr>
      </xdr:nvPicPr>
      <xdr:blipFill>
        <a:blip xmlns:r="http://schemas.openxmlformats.org/officeDocument/2006/relationships" r:embed="rId1"/>
        <a:stretch>
          <a:fillRect/>
        </a:stretch>
      </xdr:blipFill>
      <xdr:spPr>
        <a:xfrm>
          <a:off x="70338" y="46892"/>
          <a:ext cx="476250" cy="476250"/>
        </a:xfrm>
        <a:prstGeom prst="rect">
          <a:avLst/>
        </a:prstGeom>
      </xdr:spPr>
    </xdr:pic>
    <xdr:clientData/>
  </xdr:oneCellAnchor>
  <xdr:twoCellAnchor>
    <xdr:from>
      <xdr:col>9</xdr:col>
      <xdr:colOff>218185</xdr:colOff>
      <xdr:row>58</xdr:row>
      <xdr:rowOff>182052</xdr:rowOff>
    </xdr:from>
    <xdr:to>
      <xdr:col>13</xdr:col>
      <xdr:colOff>8140</xdr:colOff>
      <xdr:row>66</xdr:row>
      <xdr:rowOff>116417</xdr:rowOff>
    </xdr:to>
    <xdr:sp macro="" textlink="">
      <xdr:nvSpPr>
        <xdr:cNvPr id="4" name="TextBox 3">
          <a:extLst>
            <a:ext uri="{FF2B5EF4-FFF2-40B4-BE49-F238E27FC236}">
              <a16:creationId xmlns:a16="http://schemas.microsoft.com/office/drawing/2014/main" id="{08F841A1-E2FB-164D-A5D8-FC153F9A20D7}"/>
            </a:ext>
          </a:extLst>
        </xdr:cNvPr>
        <xdr:cNvSpPr txBox="1"/>
      </xdr:nvSpPr>
      <xdr:spPr>
        <a:xfrm>
          <a:off x="12526602" y="11728469"/>
          <a:ext cx="3832788" cy="146894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tx2">
                  <a:lumMod val="75000"/>
                </a:schemeClr>
              </a:solidFill>
              <a:effectLst/>
              <a:latin typeface="+mn-lt"/>
              <a:ea typeface="+mn-ea"/>
              <a:cs typeface="+mn-cs"/>
            </a:rPr>
            <a:t>Since the AFN value is negative, this means the</a:t>
          </a:r>
          <a:r>
            <a:rPr lang="en-US" sz="1100" b="1" i="0" u="none" strike="noStrike" baseline="0">
              <a:solidFill>
                <a:schemeClr val="tx2">
                  <a:lumMod val="75000"/>
                </a:schemeClr>
              </a:solidFill>
              <a:effectLst/>
              <a:latin typeface="+mn-lt"/>
              <a:ea typeface="+mn-ea"/>
              <a:cs typeface="+mn-cs"/>
            </a:rPr>
            <a:t> company does not need to put in additional financing to increase its sales by 5% next year. By reaching the forecasted sales, the company</a:t>
          </a:r>
          <a:r>
            <a:rPr lang="en-US" sz="1100" b="1" i="0" u="none" strike="noStrike">
              <a:solidFill>
                <a:schemeClr val="tx2">
                  <a:lumMod val="75000"/>
                </a:schemeClr>
              </a:solidFill>
              <a:effectLst/>
              <a:latin typeface="+mn-lt"/>
              <a:ea typeface="+mn-ea"/>
              <a:cs typeface="+mn-cs"/>
            </a:rPr>
            <a:t> will generate extra income, which can be used to</a:t>
          </a:r>
          <a:r>
            <a:rPr lang="en-US" sz="1100" b="1" i="0" u="none" strike="noStrike" baseline="0">
              <a:solidFill>
                <a:schemeClr val="tx2">
                  <a:lumMod val="75000"/>
                </a:schemeClr>
              </a:solidFill>
              <a:effectLst/>
              <a:latin typeface="+mn-lt"/>
              <a:ea typeface="+mn-ea"/>
              <a:cs typeface="+mn-cs"/>
            </a:rPr>
            <a:t> buy external investments or can be used to invest in the company itself. Hence, this will not change their capital structure since their majority of the financing will still come from equity when compared to the debt.</a:t>
          </a:r>
          <a:endParaRPr lang="en-US" sz="1100" b="1">
            <a:solidFill>
              <a:schemeClr val="tx2">
                <a:lumMod val="75000"/>
              </a:schemeClr>
            </a:solidFill>
          </a:endParaRPr>
        </a:p>
      </xdr:txBody>
    </xdr:sp>
    <xdr:clientData/>
  </xdr:twoCellAnchor>
  <xdr:twoCellAnchor>
    <xdr:from>
      <xdr:col>1</xdr:col>
      <xdr:colOff>744812</xdr:colOff>
      <xdr:row>1</xdr:row>
      <xdr:rowOff>85941</xdr:rowOff>
    </xdr:from>
    <xdr:to>
      <xdr:col>4</xdr:col>
      <xdr:colOff>1117218</xdr:colOff>
      <xdr:row>8</xdr:row>
      <xdr:rowOff>160866</xdr:rowOff>
    </xdr:to>
    <xdr:sp macro="" textlink="">
      <xdr:nvSpPr>
        <xdr:cNvPr id="5" name="TextBox 4">
          <a:extLst>
            <a:ext uri="{FF2B5EF4-FFF2-40B4-BE49-F238E27FC236}">
              <a16:creationId xmlns:a16="http://schemas.microsoft.com/office/drawing/2014/main" id="{AC9C15A0-A823-7040-A2A9-F0189DA77DDD}"/>
            </a:ext>
          </a:extLst>
        </xdr:cNvPr>
        <xdr:cNvSpPr txBox="1"/>
      </xdr:nvSpPr>
      <xdr:spPr>
        <a:xfrm>
          <a:off x="3784345" y="280674"/>
          <a:ext cx="3716740" cy="1463459"/>
        </a:xfrm>
        <a:prstGeom prst="rect">
          <a:avLst/>
        </a:prstGeom>
        <a:solidFill>
          <a:srgbClr val="FFFED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5">
                  <a:lumMod val="50000"/>
                </a:schemeClr>
              </a:solidFill>
              <a:effectLst/>
              <a:latin typeface="+mn-lt"/>
              <a:ea typeface="+mn-ea"/>
              <a:cs typeface="+mn-cs"/>
            </a:rPr>
            <a:t>COMPANY</a:t>
          </a:r>
          <a:r>
            <a:rPr lang="en-US" sz="1100" b="1" i="0" u="none" strike="noStrike" baseline="0">
              <a:solidFill>
                <a:schemeClr val="accent5">
                  <a:lumMod val="50000"/>
                </a:schemeClr>
              </a:solidFill>
              <a:effectLst/>
              <a:latin typeface="+mn-lt"/>
              <a:ea typeface="+mn-ea"/>
              <a:cs typeface="+mn-cs"/>
            </a:rPr>
            <a:t> INFORMATION</a:t>
          </a:r>
          <a:endParaRPr lang="en-US" sz="1100" b="1" i="0" u="none" strike="noStrike">
            <a:solidFill>
              <a:schemeClr val="accent5">
                <a:lumMod val="50000"/>
              </a:schemeClr>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Name of company:</a:t>
          </a:r>
          <a:r>
            <a:rPr lang="en-US" sz="1100" b="1" i="0" u="none" strike="noStrike" baseline="0">
              <a:solidFill>
                <a:schemeClr val="tx1"/>
              </a:solidFill>
              <a:effectLst/>
              <a:latin typeface="+mn-lt"/>
              <a:ea typeface="+mn-ea"/>
              <a:cs typeface="+mn-cs"/>
            </a:rPr>
            <a:t> </a:t>
          </a:r>
          <a:r>
            <a:rPr lang="en-US" sz="1100" b="0" i="0" u="none" strike="noStrike" baseline="0">
              <a:solidFill>
                <a:srgbClr val="FF0000"/>
              </a:solidFill>
              <a:effectLst/>
              <a:latin typeface="+mn-lt"/>
              <a:ea typeface="+mn-ea"/>
              <a:cs typeface="+mn-cs"/>
            </a:rPr>
            <a:t>Apple INC (NMC: AAPL)</a:t>
          </a:r>
        </a:p>
        <a:p>
          <a:r>
            <a:rPr lang="en-US" sz="1100" b="1" i="0" u="none" strike="noStrike">
              <a:solidFill>
                <a:schemeClr val="tx1"/>
              </a:solidFill>
              <a:effectLst/>
              <a:latin typeface="+mn-lt"/>
              <a:ea typeface="+mn-ea"/>
              <a:cs typeface="+mn-cs"/>
            </a:rPr>
            <a:t>External Auditor:</a:t>
          </a:r>
          <a:r>
            <a:rPr lang="en-US" sz="1100" b="0" i="0" u="none" strike="noStrike">
              <a:solidFill>
                <a:schemeClr val="tx1"/>
              </a:solidFill>
              <a:effectLst/>
              <a:latin typeface="+mn-lt"/>
              <a:ea typeface="+mn-ea"/>
              <a:cs typeface="+mn-cs"/>
            </a:rPr>
            <a:t> </a:t>
          </a:r>
          <a:r>
            <a:rPr lang="en-US" sz="1100" b="0" i="0" u="none" strike="noStrike">
              <a:solidFill>
                <a:srgbClr val="FF0000"/>
              </a:solidFill>
              <a:effectLst/>
              <a:latin typeface="+mn-lt"/>
              <a:ea typeface="+mn-ea"/>
              <a:cs typeface="+mn-cs"/>
            </a:rPr>
            <a:t>Ernst &amp; Young</a:t>
          </a:r>
        </a:p>
        <a:p>
          <a:r>
            <a:rPr lang="en-US" sz="1100" b="1" i="0" u="none" strike="noStrike">
              <a:solidFill>
                <a:schemeClr val="tx1"/>
              </a:solidFill>
              <a:effectLst/>
              <a:latin typeface="+mn-lt"/>
              <a:ea typeface="+mn-ea"/>
              <a:cs typeface="+mn-cs"/>
            </a:rPr>
            <a:t>Industry: </a:t>
          </a:r>
          <a:r>
            <a:rPr lang="en-US" sz="1100" b="0" i="0" u="none" strike="noStrike">
              <a:solidFill>
                <a:srgbClr val="FF0000"/>
              </a:solidFill>
              <a:effectLst/>
              <a:latin typeface="+mn-lt"/>
              <a:ea typeface="+mn-ea"/>
              <a:cs typeface="+mn-cs"/>
            </a:rPr>
            <a:t>Consumer Electronics</a:t>
          </a:r>
        </a:p>
        <a:p>
          <a:r>
            <a:rPr lang="en-US" sz="1100" b="1" i="0" u="none" strike="noStrike">
              <a:solidFill>
                <a:schemeClr val="tx1"/>
              </a:solidFill>
              <a:effectLst/>
              <a:latin typeface="+mn-lt"/>
              <a:ea typeface="+mn-ea"/>
              <a:cs typeface="+mn-cs"/>
            </a:rPr>
            <a:t>Market Capitalization: </a:t>
          </a:r>
          <a:r>
            <a:rPr lang="en-US" sz="1100" b="0" i="0" u="none" strike="noStrike">
              <a:solidFill>
                <a:srgbClr val="FF0000"/>
              </a:solidFill>
              <a:effectLst/>
              <a:latin typeface="+mn-lt"/>
              <a:ea typeface="+mn-ea"/>
              <a:cs typeface="+mn-cs"/>
            </a:rPr>
            <a:t>2.78T</a:t>
          </a:r>
          <a:endParaRPr lang="en-US" sz="1100" b="1" i="0" u="none" strike="noStrike">
            <a:solidFill>
              <a:srgbClr val="FF0000"/>
            </a:solidFill>
            <a:effectLst/>
            <a:latin typeface="+mn-lt"/>
            <a:ea typeface="+mn-ea"/>
            <a:cs typeface="+mn-cs"/>
          </a:endParaRPr>
        </a:p>
        <a:p>
          <a:r>
            <a:rPr lang="en-US" sz="1100" b="1" i="0" u="none" strike="noStrike">
              <a:solidFill>
                <a:schemeClr val="tx1"/>
              </a:solidFill>
              <a:effectLst/>
              <a:latin typeface="+mn-lt"/>
              <a:ea typeface="+mn-ea"/>
              <a:cs typeface="+mn-cs"/>
            </a:rPr>
            <a:t>Stock Exchange listing: </a:t>
          </a:r>
          <a:r>
            <a:rPr lang="en-US" sz="1100" b="0" i="0" u="none" strike="noStrike">
              <a:solidFill>
                <a:srgbClr val="FF0000"/>
              </a:solidFill>
              <a:effectLst/>
              <a:latin typeface="+mn-lt"/>
              <a:ea typeface="+mn-ea"/>
              <a:cs typeface="+mn-cs"/>
            </a:rPr>
            <a:t>Apple stock is traded on the </a:t>
          </a:r>
          <a:r>
            <a:rPr lang="en-US" sz="1100" b="1" i="0" u="none" strike="noStrike">
              <a:solidFill>
                <a:srgbClr val="FF0000"/>
              </a:solidFill>
              <a:effectLst/>
              <a:latin typeface="+mn-lt"/>
              <a:ea typeface="+mn-ea"/>
              <a:cs typeface="+mn-cs"/>
            </a:rPr>
            <a:t>NASDAQ Global Select Market </a:t>
          </a:r>
          <a:r>
            <a:rPr lang="en-US" sz="1100" b="0" i="0" u="none" strike="noStrike">
              <a:solidFill>
                <a:srgbClr val="FF0000"/>
              </a:solidFill>
              <a:effectLst/>
              <a:latin typeface="+mn-lt"/>
              <a:ea typeface="+mn-ea"/>
              <a:cs typeface="+mn-cs"/>
            </a:rPr>
            <a:t>under the ticker symbol AAPL</a:t>
          </a:r>
          <a:endParaRPr lang="en-US" sz="1100" b="1">
            <a:solidFill>
              <a:srgbClr val="FF0000"/>
            </a:solidFill>
            <a:latin typeface="+mn-lt"/>
          </a:endParaRPr>
        </a:p>
      </xdr:txBody>
    </xdr:sp>
    <xdr:clientData/>
  </xdr:twoCellAnchor>
  <xdr:twoCellAnchor>
    <xdr:from>
      <xdr:col>13</xdr:col>
      <xdr:colOff>105019</xdr:colOff>
      <xdr:row>0</xdr:row>
      <xdr:rowOff>52916</xdr:rowOff>
    </xdr:from>
    <xdr:to>
      <xdr:col>17</xdr:col>
      <xdr:colOff>450866</xdr:colOff>
      <xdr:row>13</xdr:row>
      <xdr:rowOff>169334</xdr:rowOff>
    </xdr:to>
    <xdr:sp macro="" textlink="">
      <xdr:nvSpPr>
        <xdr:cNvPr id="7" name="TextBox 6">
          <a:extLst>
            <a:ext uri="{FF2B5EF4-FFF2-40B4-BE49-F238E27FC236}">
              <a16:creationId xmlns:a16="http://schemas.microsoft.com/office/drawing/2014/main" id="{6670A5B6-19BB-7142-83DD-288C442C5AAE}"/>
            </a:ext>
          </a:extLst>
        </xdr:cNvPr>
        <xdr:cNvSpPr txBox="1"/>
      </xdr:nvSpPr>
      <xdr:spPr>
        <a:xfrm>
          <a:off x="16456269" y="52916"/>
          <a:ext cx="3986514" cy="2698751"/>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solidFill>
            </a:rPr>
            <a:t>Current Ratio </a:t>
          </a:r>
          <a:r>
            <a:rPr lang="en-US" sz="1000">
              <a:solidFill>
                <a:srgbClr val="FF0000"/>
              </a:solidFill>
            </a:rPr>
            <a:t>= Total Current</a:t>
          </a:r>
          <a:r>
            <a:rPr lang="en-US" sz="1000" baseline="0">
              <a:solidFill>
                <a:srgbClr val="FF0000"/>
              </a:solidFill>
            </a:rPr>
            <a:t> Assets/ Total Current Liabilites</a:t>
          </a:r>
        </a:p>
        <a:p>
          <a:r>
            <a:rPr lang="en-US" sz="1000" b="1" baseline="0">
              <a:solidFill>
                <a:schemeClr val="tx1"/>
              </a:solidFill>
            </a:rPr>
            <a:t>Quick Ratio </a:t>
          </a:r>
          <a:r>
            <a:rPr lang="en-US" sz="1000" baseline="0">
              <a:solidFill>
                <a:srgbClr val="FF0000"/>
              </a:solidFill>
            </a:rPr>
            <a:t>= (Total Current Assets - Inventory)/ Total Current Liabilities</a:t>
          </a:r>
          <a:endParaRPr lang="en-US" sz="1000" baseline="0">
            <a:solidFill>
              <a:schemeClr val="tx1"/>
            </a:solidFill>
          </a:endParaRPr>
        </a:p>
        <a:p>
          <a:r>
            <a:rPr lang="en-US" sz="1000" b="1">
              <a:solidFill>
                <a:schemeClr val="tx1"/>
              </a:solidFill>
            </a:rPr>
            <a:t>Profit</a:t>
          </a:r>
          <a:r>
            <a:rPr lang="en-US" sz="1000" b="1" baseline="0">
              <a:solidFill>
                <a:schemeClr val="tx1"/>
              </a:solidFill>
            </a:rPr>
            <a:t> Margin </a:t>
          </a:r>
          <a:r>
            <a:rPr lang="en-US" sz="1000" baseline="0">
              <a:solidFill>
                <a:srgbClr val="FF0000"/>
              </a:solidFill>
            </a:rPr>
            <a:t>= Net Income/ Sales</a:t>
          </a:r>
        </a:p>
        <a:p>
          <a:r>
            <a:rPr lang="en-US" sz="1000" b="1">
              <a:solidFill>
                <a:schemeClr val="tx1"/>
              </a:solidFill>
            </a:rPr>
            <a:t>ROA</a:t>
          </a:r>
          <a:r>
            <a:rPr lang="en-US" sz="1000">
              <a:solidFill>
                <a:srgbClr val="FF0000"/>
              </a:solidFill>
            </a:rPr>
            <a:t> = NI/</a:t>
          </a:r>
          <a:r>
            <a:rPr lang="en-US" sz="1000" baseline="0">
              <a:solidFill>
                <a:srgbClr val="FF0000"/>
              </a:solidFill>
            </a:rPr>
            <a:t> Total Assets </a:t>
          </a:r>
        </a:p>
        <a:p>
          <a:r>
            <a:rPr lang="en-US" sz="1000" b="1" baseline="0">
              <a:solidFill>
                <a:schemeClr val="tx1"/>
              </a:solidFill>
            </a:rPr>
            <a:t>ROE</a:t>
          </a:r>
          <a:r>
            <a:rPr lang="en-US" sz="1000" baseline="0">
              <a:solidFill>
                <a:srgbClr val="FF0000"/>
              </a:solidFill>
            </a:rPr>
            <a:t> = NI/ Total Owner's Equity </a:t>
          </a:r>
        </a:p>
        <a:p>
          <a:pPr algn="l"/>
          <a:r>
            <a:rPr lang="en-US" sz="1000" b="1" baseline="0">
              <a:solidFill>
                <a:schemeClr val="tx1"/>
              </a:solidFill>
            </a:rPr>
            <a:t>Leverage Ratio ( Debt/Equity Ratio) </a:t>
          </a:r>
          <a:r>
            <a:rPr lang="en-US" sz="1000" baseline="0">
              <a:solidFill>
                <a:srgbClr val="FF0000"/>
              </a:solidFill>
            </a:rPr>
            <a:t>= Total debt/ Owner's equity</a:t>
          </a:r>
        </a:p>
        <a:p>
          <a:pPr algn="l"/>
          <a:r>
            <a:rPr lang="en-US" sz="1000" b="1" baseline="0">
              <a:solidFill>
                <a:schemeClr val="tx1"/>
              </a:solidFill>
            </a:rPr>
            <a:t>Financial Leverage ( Debt/Assets Ratio)  </a:t>
          </a:r>
          <a:r>
            <a:rPr lang="en-US" sz="1000" baseline="0">
              <a:solidFill>
                <a:srgbClr val="FF0000"/>
              </a:solidFill>
            </a:rPr>
            <a:t>= Total assets/ Owner's equity</a:t>
          </a:r>
        </a:p>
        <a:p>
          <a:pPr algn="l"/>
          <a:r>
            <a:rPr lang="en-US" sz="1000" b="1" baseline="0">
              <a:solidFill>
                <a:schemeClr val="tx1"/>
              </a:solidFill>
            </a:rPr>
            <a:t>Owner's equity </a:t>
          </a:r>
          <a:r>
            <a:rPr lang="en-US" sz="1000" baseline="0">
              <a:solidFill>
                <a:srgbClr val="FF0000"/>
              </a:solidFill>
            </a:rPr>
            <a:t>= Total assets - Total Liabilities</a:t>
          </a:r>
          <a:endParaRPr lang="en-US" sz="1000" baseline="0">
            <a:solidFill>
              <a:schemeClr val="tx1"/>
            </a:solidFill>
          </a:endParaRPr>
        </a:p>
        <a:p>
          <a:pPr algn="l"/>
          <a:r>
            <a:rPr lang="en-US" sz="1000" b="1">
              <a:solidFill>
                <a:schemeClr val="tx1"/>
              </a:solidFill>
            </a:rPr>
            <a:t>Times Interest Earned (TIE)</a:t>
          </a:r>
          <a:r>
            <a:rPr lang="en-US" sz="1000" b="1" baseline="0">
              <a:solidFill>
                <a:schemeClr val="tx1"/>
              </a:solidFill>
            </a:rPr>
            <a:t> </a:t>
          </a:r>
          <a:r>
            <a:rPr lang="en-US" sz="1000" baseline="0">
              <a:solidFill>
                <a:srgbClr val="FF0000"/>
              </a:solidFill>
            </a:rPr>
            <a:t>= Operating Income (EBIT)/ Interest Expense </a:t>
          </a:r>
        </a:p>
        <a:p>
          <a:pPr algn="l"/>
          <a:r>
            <a:rPr lang="en-US" sz="1000" b="1" baseline="0">
              <a:solidFill>
                <a:schemeClr val="tx1"/>
              </a:solidFill>
            </a:rPr>
            <a:t>Sustainable Growth rate</a:t>
          </a:r>
          <a:r>
            <a:rPr lang="en-US" sz="1000" baseline="0">
              <a:solidFill>
                <a:schemeClr val="tx1"/>
              </a:solidFill>
            </a:rPr>
            <a:t> </a:t>
          </a:r>
          <a:r>
            <a:rPr lang="en-US" sz="1000" baseline="0">
              <a:solidFill>
                <a:srgbClr val="FF0000"/>
              </a:solidFill>
            </a:rPr>
            <a:t>= Net income/ Owner's equity </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1">
              <a:solidFill>
                <a:schemeClr val="tx1"/>
              </a:solidFill>
            </a:rPr>
            <a:t>Additional</a:t>
          </a:r>
          <a:r>
            <a:rPr lang="en-US" sz="1000" b="1" baseline="0">
              <a:solidFill>
                <a:schemeClr val="tx1"/>
              </a:solidFill>
            </a:rPr>
            <a:t> Funds Needed (AFN)</a:t>
          </a:r>
          <a:r>
            <a:rPr lang="en-US" sz="1000" b="1" baseline="0">
              <a:solidFill>
                <a:srgbClr val="FF0000"/>
              </a:solidFill>
            </a:rPr>
            <a:t> </a:t>
          </a:r>
          <a:r>
            <a:rPr lang="en-US" sz="1000" baseline="0">
              <a:solidFill>
                <a:srgbClr val="FF0000"/>
              </a:solidFill>
            </a:rPr>
            <a:t>= (A0*/S0)∆S – (L0*/S0)∆S – M(S1)(1 – Payout)</a:t>
          </a:r>
          <a:br>
            <a:rPr lang="en-US" sz="1000" baseline="0">
              <a:solidFill>
                <a:srgbClr val="FF0000"/>
              </a:solidFill>
            </a:rPr>
          </a:br>
          <a:r>
            <a:rPr lang="en-US" sz="1000" b="1" baseline="0">
              <a:solidFill>
                <a:schemeClr val="tx1"/>
              </a:solidFill>
            </a:rPr>
            <a:t>Retention rate </a:t>
          </a:r>
          <a:r>
            <a:rPr lang="en-US" sz="1000" baseline="0">
              <a:solidFill>
                <a:srgbClr val="FF0000"/>
              </a:solidFill>
            </a:rPr>
            <a:t>= Retained earnings/expected net income</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1" baseline="0">
              <a:solidFill>
                <a:schemeClr val="tx1"/>
              </a:solidFill>
            </a:rPr>
            <a:t>Return on Invested Capital (ROIC) </a:t>
          </a:r>
          <a:r>
            <a:rPr lang="en-US" sz="1000" baseline="0">
              <a:solidFill>
                <a:srgbClr val="FF0000"/>
              </a:solidFill>
            </a:rPr>
            <a:t>= Earnings after Tax (NOPAT) / Invested Capital</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1" i="0" u="none" strike="noStrike">
              <a:solidFill>
                <a:schemeClr val="dk1"/>
              </a:solidFill>
              <a:effectLst/>
              <a:latin typeface="+mn-lt"/>
              <a:ea typeface="+mn-ea"/>
              <a:cs typeface="+mn-cs"/>
            </a:rPr>
            <a:t>Market Capitalization (Value of equity) </a:t>
          </a:r>
          <a:r>
            <a:rPr lang="en-US" sz="1000" b="0" i="0" u="none" strike="noStrike">
              <a:solidFill>
                <a:srgbClr val="FF0000"/>
              </a:solidFill>
              <a:effectLst/>
              <a:latin typeface="+mn-lt"/>
              <a:ea typeface="+mn-ea"/>
              <a:cs typeface="+mn-cs"/>
            </a:rPr>
            <a:t>= Price/share * Number of shares outstanding</a:t>
          </a:r>
          <a:r>
            <a:rPr lang="en-US" sz="1000">
              <a:solidFill>
                <a:srgbClr val="FF0000"/>
              </a:solidFill>
            </a:rPr>
            <a:t> </a:t>
          </a:r>
          <a:endParaRPr lang="en-US" sz="1000" baseline="0">
            <a:solidFill>
              <a:srgbClr val="FF0000"/>
            </a:solidFill>
          </a:endParaRPr>
        </a:p>
        <a:p>
          <a:endParaRPr lang="en-US" sz="1000" baseline="0">
            <a:solidFill>
              <a:schemeClr val="tx1"/>
            </a:solidFill>
          </a:endParaRPr>
        </a:p>
        <a:p>
          <a:pPr algn="l"/>
          <a:endParaRPr lang="en-US" sz="1000" baseline="0">
            <a:solidFill>
              <a:srgbClr val="FF0000"/>
            </a:solidFill>
          </a:endParaRPr>
        </a:p>
        <a:p>
          <a:endParaRPr lang="en-US" sz="1000"/>
        </a:p>
      </xdr:txBody>
    </xdr:sp>
    <xdr:clientData/>
  </xdr:twoCellAnchor>
  <xdr:twoCellAnchor>
    <xdr:from>
      <xdr:col>14</xdr:col>
      <xdr:colOff>1627</xdr:colOff>
      <xdr:row>19</xdr:row>
      <xdr:rowOff>157119</xdr:rowOff>
    </xdr:from>
    <xdr:to>
      <xdr:col>19</xdr:col>
      <xdr:colOff>198641</xdr:colOff>
      <xdr:row>34</xdr:row>
      <xdr:rowOff>126999</xdr:rowOff>
    </xdr:to>
    <xdr:sp macro="" textlink="">
      <xdr:nvSpPr>
        <xdr:cNvPr id="3" name="TextBox 2">
          <a:extLst>
            <a:ext uri="{FF2B5EF4-FFF2-40B4-BE49-F238E27FC236}">
              <a16:creationId xmlns:a16="http://schemas.microsoft.com/office/drawing/2014/main" id="{98013CE8-87EB-D14B-9248-EF12B0D657FA}"/>
            </a:ext>
          </a:extLst>
        </xdr:cNvPr>
        <xdr:cNvSpPr txBox="1"/>
      </xdr:nvSpPr>
      <xdr:spPr>
        <a:xfrm>
          <a:off x="17263044" y="3967119"/>
          <a:ext cx="4747847" cy="2901463"/>
        </a:xfrm>
        <a:prstGeom prst="rect">
          <a:avLst/>
        </a:prstGeom>
        <a:solidFill>
          <a:srgbClr val="FFFED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50000"/>
                </a:schemeClr>
              </a:solidFill>
            </a:rPr>
            <a:t>From the ROIC and ROE values we can see that </a:t>
          </a:r>
          <a:r>
            <a:rPr lang="en-US" sz="1100" b="1" i="0" u="none" strike="noStrike">
              <a:solidFill>
                <a:schemeClr val="accent6">
                  <a:lumMod val="50000"/>
                </a:schemeClr>
              </a:solidFill>
              <a:effectLst/>
              <a:latin typeface="+mn-lt"/>
              <a:ea typeface="+mn-ea"/>
              <a:cs typeface="+mn-cs"/>
            </a:rPr>
            <a:t>Apple</a:t>
          </a:r>
          <a:r>
            <a:rPr lang="en-US" sz="1100" b="1" i="0" u="none" strike="noStrike" baseline="0">
              <a:solidFill>
                <a:schemeClr val="accent6">
                  <a:lumMod val="50000"/>
                </a:schemeClr>
              </a:solidFill>
              <a:effectLst/>
              <a:latin typeface="+mn-lt"/>
              <a:ea typeface="+mn-ea"/>
              <a:cs typeface="+mn-cs"/>
            </a:rPr>
            <a:t> earns very high rate of return on investments when compared to the cost to raise the capital to make that investment. Since APPL generates positive excessive earnings on every new investment, this will positively increase their future value as they grow as well.</a:t>
          </a:r>
          <a:endParaRPr lang="en-US" sz="1100" b="1" i="0" u="none" strike="noStrike">
            <a:solidFill>
              <a:schemeClr val="accent6">
                <a:lumMod val="50000"/>
              </a:schemeClr>
            </a:solidFill>
            <a:effectLst/>
            <a:latin typeface="+mn-lt"/>
            <a:ea typeface="+mn-ea"/>
            <a:cs typeface="+mn-cs"/>
          </a:endParaRPr>
        </a:p>
        <a:p>
          <a:endParaRPr lang="en-US" sz="1100" b="1" i="0" u="none" strike="noStrike">
            <a:solidFill>
              <a:schemeClr val="accent6">
                <a:lumMod val="50000"/>
              </a:schemeClr>
            </a:solidFill>
            <a:effectLst/>
            <a:latin typeface="+mn-lt"/>
            <a:ea typeface="+mn-ea"/>
            <a:cs typeface="+mn-cs"/>
          </a:endParaRPr>
        </a:p>
        <a:p>
          <a:r>
            <a:rPr lang="en-US" sz="1100" b="1" i="0" u="none" strike="noStrike">
              <a:solidFill>
                <a:schemeClr val="accent6">
                  <a:lumMod val="50000"/>
                </a:schemeClr>
              </a:solidFill>
              <a:effectLst/>
              <a:latin typeface="+mn-lt"/>
              <a:ea typeface="+mn-ea"/>
              <a:cs typeface="+mn-cs"/>
            </a:rPr>
            <a:t>We can see that the ROE</a:t>
          </a:r>
          <a:r>
            <a:rPr lang="en-US" sz="1100" b="1" i="0" u="none" strike="noStrike" baseline="0">
              <a:solidFill>
                <a:schemeClr val="accent6">
                  <a:lumMod val="50000"/>
                </a:schemeClr>
              </a:solidFill>
              <a:effectLst/>
              <a:latin typeface="+mn-lt"/>
              <a:ea typeface="+mn-ea"/>
              <a:cs typeface="+mn-cs"/>
            </a:rPr>
            <a:t> values have been increasing rapidly over the past few years. This is due to the high net income values when compared to the lower investments by the shareholders. It indicates that the company's performance is very strong and it is effectively utilizing the money that the shareholders have invested. In other words it means that the company is good at producing high profits from existing assets.</a:t>
          </a:r>
        </a:p>
        <a:p>
          <a:endParaRPr lang="en-US" sz="1100" b="1" i="0" u="none" strike="noStrike" baseline="0">
            <a:solidFill>
              <a:schemeClr val="accent6">
                <a:lumMod val="50000"/>
              </a:schemeClr>
            </a:solidFill>
            <a:effectLst/>
            <a:latin typeface="+mn-lt"/>
            <a:ea typeface="+mn-ea"/>
            <a:cs typeface="+mn-cs"/>
          </a:endParaRPr>
        </a:p>
        <a:p>
          <a:r>
            <a:rPr lang="en-US" sz="1100" b="1" i="0" u="none" strike="noStrike" baseline="0">
              <a:solidFill>
                <a:schemeClr val="accent6">
                  <a:lumMod val="50000"/>
                </a:schemeClr>
              </a:solidFill>
              <a:effectLst/>
              <a:latin typeface="+mn-lt"/>
              <a:ea typeface="+mn-ea"/>
              <a:cs typeface="+mn-cs"/>
            </a:rPr>
            <a:t>Since ROIC takes into account both the debt and equity of the company. An increasing  high % value every year indicates that this company is creating value. Therefore it is healthy and growing.</a:t>
          </a:r>
          <a:endParaRPr lang="en-US" sz="1100" b="1" i="0" u="none" strike="noStrike">
            <a:solidFill>
              <a:schemeClr val="accent6">
                <a:lumMod val="50000"/>
              </a:schemeClr>
            </a:solidFill>
            <a:effectLst/>
            <a:latin typeface="+mn-lt"/>
            <a:ea typeface="+mn-ea"/>
            <a:cs typeface="+mn-cs"/>
          </a:endParaRPr>
        </a:p>
        <a:p>
          <a:endParaRPr lang="en-US" sz="1100" b="1" i="0" u="none" strike="noStrike">
            <a:solidFill>
              <a:schemeClr val="accent6">
                <a:lumMod val="50000"/>
              </a:schemeClr>
            </a:solidFill>
            <a:effectLst/>
            <a:latin typeface="+mn-lt"/>
            <a:ea typeface="+mn-ea"/>
            <a:cs typeface="+mn-cs"/>
          </a:endParaRPr>
        </a:p>
        <a:p>
          <a:endParaRPr lang="en-US" sz="1100" b="1" i="0" u="none" strike="noStrike">
            <a:solidFill>
              <a:schemeClr val="accent6">
                <a:lumMod val="50000"/>
              </a:schemeClr>
            </a:solidFill>
            <a:effectLst/>
            <a:latin typeface="+mn-lt"/>
            <a:ea typeface="+mn-ea"/>
            <a:cs typeface="+mn-cs"/>
          </a:endParaRPr>
        </a:p>
        <a:p>
          <a:endParaRPr lang="en-US" sz="1100" b="1" i="0" u="none" strike="noStrike">
            <a:solidFill>
              <a:schemeClr val="accent6">
                <a:lumMod val="50000"/>
              </a:schemeClr>
            </a:solidFill>
            <a:effectLst/>
            <a:latin typeface="+mn-lt"/>
            <a:ea typeface="+mn-ea"/>
            <a:cs typeface="+mn-cs"/>
          </a:endParaRPr>
        </a:p>
      </xdr:txBody>
    </xdr:sp>
    <xdr:clientData/>
  </xdr:twoCellAnchor>
  <xdr:twoCellAnchor>
    <xdr:from>
      <xdr:col>13</xdr:col>
      <xdr:colOff>19538</xdr:colOff>
      <xdr:row>15</xdr:row>
      <xdr:rowOff>107461</xdr:rowOff>
    </xdr:from>
    <xdr:to>
      <xdr:col>13</xdr:col>
      <xdr:colOff>867833</xdr:colOff>
      <xdr:row>20</xdr:row>
      <xdr:rowOff>127000</xdr:rowOff>
    </xdr:to>
    <xdr:cxnSp macro="">
      <xdr:nvCxnSpPr>
        <xdr:cNvPr id="8" name="Straight Arrow Connector 7">
          <a:extLst>
            <a:ext uri="{FF2B5EF4-FFF2-40B4-BE49-F238E27FC236}">
              <a16:creationId xmlns:a16="http://schemas.microsoft.com/office/drawing/2014/main" id="{55AD088F-3815-134F-A1EA-CCBB5D69131A}"/>
            </a:ext>
          </a:extLst>
        </xdr:cNvPr>
        <xdr:cNvCxnSpPr/>
      </xdr:nvCxnSpPr>
      <xdr:spPr>
        <a:xfrm>
          <a:off x="16370788" y="3134294"/>
          <a:ext cx="848295" cy="993206"/>
        </a:xfrm>
        <a:prstGeom prst="straightConnector1">
          <a:avLst/>
        </a:prstGeom>
        <a:ln w="2222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xdr:col>
      <xdr:colOff>58615</xdr:colOff>
      <xdr:row>33</xdr:row>
      <xdr:rowOff>158750</xdr:rowOff>
    </xdr:from>
    <xdr:to>
      <xdr:col>13</xdr:col>
      <xdr:colOff>878417</xdr:colOff>
      <xdr:row>37</xdr:row>
      <xdr:rowOff>78154</xdr:rowOff>
    </xdr:to>
    <xdr:cxnSp macro="">
      <xdr:nvCxnSpPr>
        <xdr:cNvPr id="9" name="Straight Arrow Connector 8">
          <a:extLst>
            <a:ext uri="{FF2B5EF4-FFF2-40B4-BE49-F238E27FC236}">
              <a16:creationId xmlns:a16="http://schemas.microsoft.com/office/drawing/2014/main" id="{FDB70312-496B-8B44-941E-F951AFCA4428}"/>
            </a:ext>
          </a:extLst>
        </xdr:cNvPr>
        <xdr:cNvCxnSpPr/>
      </xdr:nvCxnSpPr>
      <xdr:spPr>
        <a:xfrm flipV="1">
          <a:off x="16409865" y="6709833"/>
          <a:ext cx="819802" cy="681404"/>
        </a:xfrm>
        <a:prstGeom prst="straightConnector1">
          <a:avLst/>
        </a:prstGeom>
        <a:ln w="2222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615461</xdr:colOff>
      <xdr:row>54</xdr:row>
      <xdr:rowOff>58616</xdr:rowOff>
    </xdr:from>
    <xdr:to>
      <xdr:col>10</xdr:col>
      <xdr:colOff>87924</xdr:colOff>
      <xdr:row>58</xdr:row>
      <xdr:rowOff>166077</xdr:rowOff>
    </xdr:to>
    <xdr:cxnSp macro="">
      <xdr:nvCxnSpPr>
        <xdr:cNvPr id="15" name="Straight Arrow Connector 14">
          <a:extLst>
            <a:ext uri="{FF2B5EF4-FFF2-40B4-BE49-F238E27FC236}">
              <a16:creationId xmlns:a16="http://schemas.microsoft.com/office/drawing/2014/main" id="{547F636A-C516-9640-8506-0934AA997C0F}"/>
            </a:ext>
          </a:extLst>
        </xdr:cNvPr>
        <xdr:cNvCxnSpPr/>
      </xdr:nvCxnSpPr>
      <xdr:spPr>
        <a:xfrm flipH="1">
          <a:off x="12924692" y="10873154"/>
          <a:ext cx="390770" cy="1074615"/>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508000</xdr:colOff>
      <xdr:row>69</xdr:row>
      <xdr:rowOff>101761</xdr:rowOff>
    </xdr:from>
    <xdr:to>
      <xdr:col>17</xdr:col>
      <xdr:colOff>486833</xdr:colOff>
      <xdr:row>74</xdr:row>
      <xdr:rowOff>52916</xdr:rowOff>
    </xdr:to>
    <xdr:sp macro="" textlink="">
      <xdr:nvSpPr>
        <xdr:cNvPr id="20" name="TextBox 19">
          <a:extLst>
            <a:ext uri="{FF2B5EF4-FFF2-40B4-BE49-F238E27FC236}">
              <a16:creationId xmlns:a16="http://schemas.microsoft.com/office/drawing/2014/main" id="{A70C9FB7-6B5D-3B41-BF3D-E3C2227ABD06}"/>
            </a:ext>
          </a:extLst>
        </xdr:cNvPr>
        <xdr:cNvSpPr txBox="1"/>
      </xdr:nvSpPr>
      <xdr:spPr>
        <a:xfrm>
          <a:off x="16859250" y="13764844"/>
          <a:ext cx="3619500" cy="1136489"/>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Since the sustainable growth rate has been rapidly increasing over</a:t>
          </a:r>
          <a:r>
            <a:rPr lang="en-US" sz="1100" b="1" baseline="0">
              <a:solidFill>
                <a:schemeClr val="accent4">
                  <a:lumMod val="75000"/>
                </a:schemeClr>
              </a:solidFill>
            </a:rPr>
            <a:t> the past few years, it indicates that APPL has been able to sustain their growth using their retained earnings and profits generated every year. By using the internal financing they have been able to decrease their financial leverage and grow their business annually.</a:t>
          </a:r>
          <a:endParaRPr lang="en-US" sz="1100" b="1">
            <a:solidFill>
              <a:schemeClr val="accent4">
                <a:lumMod val="75000"/>
              </a:schemeClr>
            </a:solidFill>
          </a:endParaRPr>
        </a:p>
        <a:p>
          <a:endParaRPr lang="en-US" sz="1100" b="1">
            <a:solidFill>
              <a:schemeClr val="accent4">
                <a:lumMod val="75000"/>
              </a:schemeClr>
            </a:solidFill>
          </a:endParaRPr>
        </a:p>
      </xdr:txBody>
    </xdr:sp>
    <xdr:clientData/>
  </xdr:twoCellAnchor>
  <xdr:twoCellAnchor>
    <xdr:from>
      <xdr:col>13</xdr:col>
      <xdr:colOff>39077</xdr:colOff>
      <xdr:row>72</xdr:row>
      <xdr:rowOff>254000</xdr:rowOff>
    </xdr:from>
    <xdr:to>
      <xdr:col>13</xdr:col>
      <xdr:colOff>476250</xdr:colOff>
      <xdr:row>74</xdr:row>
      <xdr:rowOff>97693</xdr:rowOff>
    </xdr:to>
    <xdr:cxnSp macro="">
      <xdr:nvCxnSpPr>
        <xdr:cNvPr id="22" name="Straight Arrow Connector 21">
          <a:extLst>
            <a:ext uri="{FF2B5EF4-FFF2-40B4-BE49-F238E27FC236}">
              <a16:creationId xmlns:a16="http://schemas.microsoft.com/office/drawing/2014/main" id="{0C54237D-D4FB-674D-9CCD-A390EBAD7B17}"/>
            </a:ext>
          </a:extLst>
        </xdr:cNvPr>
        <xdr:cNvCxnSpPr/>
      </xdr:nvCxnSpPr>
      <xdr:spPr>
        <a:xfrm flipV="1">
          <a:off x="16390327" y="14509750"/>
          <a:ext cx="437173" cy="436360"/>
        </a:xfrm>
        <a:prstGeom prst="straightConnector1">
          <a:avLst/>
        </a:prstGeom>
        <a:ln w="22225">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12</xdr:col>
      <xdr:colOff>437173</xdr:colOff>
      <xdr:row>98</xdr:row>
      <xdr:rowOff>125373</xdr:rowOff>
    </xdr:from>
    <xdr:to>
      <xdr:col>16</xdr:col>
      <xdr:colOff>275166</xdr:colOff>
      <xdr:row>107</xdr:row>
      <xdr:rowOff>57727</xdr:rowOff>
    </xdr:to>
    <xdr:sp macro="" textlink="">
      <xdr:nvSpPr>
        <xdr:cNvPr id="24" name="TextBox 23">
          <a:extLst>
            <a:ext uri="{FF2B5EF4-FFF2-40B4-BE49-F238E27FC236}">
              <a16:creationId xmlns:a16="http://schemas.microsoft.com/office/drawing/2014/main" id="{443B59F9-64D3-F347-8914-65EC841F7A24}"/>
            </a:ext>
          </a:extLst>
        </xdr:cNvPr>
        <xdr:cNvSpPr txBox="1"/>
      </xdr:nvSpPr>
      <xdr:spPr>
        <a:xfrm>
          <a:off x="15869597" y="19627570"/>
          <a:ext cx="3494054" cy="1664172"/>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lumMod val="75000"/>
                </a:schemeClr>
              </a:solidFill>
            </a:rPr>
            <a:t>This calculation shows that most of AAPL's operational financing has been paid with equity</a:t>
          </a:r>
          <a:r>
            <a:rPr lang="en-US" sz="1100" b="1" baseline="0">
              <a:solidFill>
                <a:schemeClr val="accent2">
                  <a:lumMod val="75000"/>
                </a:schemeClr>
              </a:solidFill>
            </a:rPr>
            <a:t> when compared to the debt. WACC is the company's cost of capital. It indicates the percentage that a firm is likely to pay overall to the shareholders. </a:t>
          </a:r>
        </a:p>
        <a:p>
          <a:endParaRPr lang="en-US" sz="1100" b="1" baseline="0">
            <a:solidFill>
              <a:schemeClr val="accent2">
                <a:lumMod val="75000"/>
              </a:schemeClr>
            </a:solidFill>
          </a:endParaRPr>
        </a:p>
        <a:p>
          <a:r>
            <a:rPr lang="en-US" sz="1100" b="1" baseline="0">
              <a:solidFill>
                <a:schemeClr val="accent2">
                  <a:lumMod val="75000"/>
                </a:schemeClr>
              </a:solidFill>
            </a:rPr>
            <a:t>From the weight's we can see that most of the company's finance is from equity  (95.83 %) when compared to the debt(4.17%).</a:t>
          </a:r>
          <a:endParaRPr lang="en-US" sz="1100" b="1">
            <a:solidFill>
              <a:schemeClr val="accent2">
                <a:lumMod val="75000"/>
              </a:schemeClr>
            </a:solidFill>
          </a:endParaRPr>
        </a:p>
        <a:p>
          <a:endParaRPr lang="en-US" sz="1100" b="1">
            <a:solidFill>
              <a:schemeClr val="accent2">
                <a:lumMod val="75000"/>
              </a:schemeClr>
            </a:solidFill>
          </a:endParaRPr>
        </a:p>
        <a:p>
          <a:r>
            <a:rPr lang="en-US" sz="1100" b="1" i="0" u="none" strike="noStrike">
              <a:solidFill>
                <a:schemeClr val="accent2">
                  <a:lumMod val="75000"/>
                </a:schemeClr>
              </a:solidFill>
              <a:effectLst/>
              <a:latin typeface="+mn-lt"/>
              <a:ea typeface="+mn-ea"/>
              <a:cs typeface="+mn-cs"/>
            </a:rPr>
            <a:t> </a:t>
          </a:r>
        </a:p>
      </xdr:txBody>
    </xdr:sp>
    <xdr:clientData/>
  </xdr:twoCellAnchor>
  <xdr:twoCellAnchor>
    <xdr:from>
      <xdr:col>12</xdr:col>
      <xdr:colOff>758093</xdr:colOff>
      <xdr:row>115</xdr:row>
      <xdr:rowOff>103552</xdr:rowOff>
    </xdr:from>
    <xdr:to>
      <xdr:col>16</xdr:col>
      <xdr:colOff>328247</xdr:colOff>
      <xdr:row>121</xdr:row>
      <xdr:rowOff>115454</xdr:rowOff>
    </xdr:to>
    <xdr:sp macro="" textlink="">
      <xdr:nvSpPr>
        <xdr:cNvPr id="27" name="TextBox 26">
          <a:extLst>
            <a:ext uri="{FF2B5EF4-FFF2-40B4-BE49-F238E27FC236}">
              <a16:creationId xmlns:a16="http://schemas.microsoft.com/office/drawing/2014/main" id="{C565CDE4-BEBB-EB47-AE45-3A526E427D40}"/>
            </a:ext>
          </a:extLst>
        </xdr:cNvPr>
        <xdr:cNvSpPr txBox="1"/>
      </xdr:nvSpPr>
      <xdr:spPr>
        <a:xfrm>
          <a:off x="16190517" y="22934688"/>
          <a:ext cx="3226215" cy="126266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Market</a:t>
          </a:r>
          <a:r>
            <a:rPr lang="en-US" sz="1100" b="1" baseline="0">
              <a:solidFill>
                <a:schemeClr val="accent1">
                  <a:lumMod val="75000"/>
                </a:schemeClr>
              </a:solidFill>
            </a:rPr>
            <a:t> Captalization is calculated</a:t>
          </a:r>
          <a:r>
            <a:rPr lang="en-US" sz="1100" b="1">
              <a:solidFill>
                <a:schemeClr val="accent1">
                  <a:lumMod val="75000"/>
                </a:schemeClr>
              </a:solidFill>
            </a:rPr>
            <a:t> by multiplying,</a:t>
          </a:r>
          <a:r>
            <a:rPr lang="en-US" sz="1100" b="1" baseline="0">
              <a:solidFill>
                <a:schemeClr val="accent1">
                  <a:lumMod val="75000"/>
                </a:schemeClr>
              </a:solidFill>
            </a:rPr>
            <a:t> APPL's</a:t>
          </a:r>
          <a:r>
            <a:rPr lang="en-US" sz="1100" b="1">
              <a:solidFill>
                <a:schemeClr val="accent1">
                  <a:lumMod val="75000"/>
                </a:schemeClr>
              </a:solidFill>
            </a:rPr>
            <a:t> stock price with</a:t>
          </a:r>
          <a:r>
            <a:rPr lang="en-US" sz="1100" b="1" baseline="0">
              <a:solidFill>
                <a:schemeClr val="accent1">
                  <a:lumMod val="75000"/>
                </a:schemeClr>
              </a:solidFill>
            </a:rPr>
            <a:t> the number of shares </a:t>
          </a:r>
          <a:r>
            <a:rPr lang="en-US" sz="1100" b="1">
              <a:solidFill>
                <a:schemeClr val="accent1">
                  <a:lumMod val="75000"/>
                </a:schemeClr>
              </a:solidFill>
            </a:rPr>
            <a:t>outstanding. Stock</a:t>
          </a:r>
          <a:r>
            <a:rPr lang="en-US" sz="1100" b="1" baseline="0">
              <a:solidFill>
                <a:schemeClr val="accent1">
                  <a:lumMod val="75000"/>
                </a:schemeClr>
              </a:solidFill>
            </a:rPr>
            <a:t> price and market capitalization are directly proportional to each other. And change in the stock price will result in equal change in the market capitalization of the company.</a:t>
          </a:r>
        </a:p>
        <a:p>
          <a:endParaRPr lang="en-US" sz="1100" b="1" i="0" u="none" strike="noStrike" baseline="0">
            <a:solidFill>
              <a:schemeClr val="accent1">
                <a:lumMod val="75000"/>
              </a:schemeClr>
            </a:solidFill>
            <a:effectLst/>
            <a:latin typeface="+mn-lt"/>
            <a:ea typeface="+mn-ea"/>
            <a:cs typeface="+mn-cs"/>
          </a:endParaRPr>
        </a:p>
      </xdr:txBody>
    </xdr:sp>
    <xdr:clientData/>
  </xdr:twoCellAnchor>
  <xdr:twoCellAnchor>
    <xdr:from>
      <xdr:col>11</xdr:col>
      <xdr:colOff>29307</xdr:colOff>
      <xdr:row>116</xdr:row>
      <xdr:rowOff>205154</xdr:rowOff>
    </xdr:from>
    <xdr:to>
      <xdr:col>12</xdr:col>
      <xdr:colOff>732692</xdr:colOff>
      <xdr:row>119</xdr:row>
      <xdr:rowOff>0</xdr:rowOff>
    </xdr:to>
    <xdr:cxnSp macro="">
      <xdr:nvCxnSpPr>
        <xdr:cNvPr id="29" name="Straight Arrow Connector 28">
          <a:extLst>
            <a:ext uri="{FF2B5EF4-FFF2-40B4-BE49-F238E27FC236}">
              <a16:creationId xmlns:a16="http://schemas.microsoft.com/office/drawing/2014/main" id="{684724CD-8E91-7A43-BC39-89B38464B6CF}"/>
            </a:ext>
          </a:extLst>
        </xdr:cNvPr>
        <xdr:cNvCxnSpPr/>
      </xdr:nvCxnSpPr>
      <xdr:spPr>
        <a:xfrm flipV="1">
          <a:off x="14468230" y="23348462"/>
          <a:ext cx="1719385" cy="429846"/>
        </a:xfrm>
        <a:prstGeom prst="straightConnector1">
          <a:avLst/>
        </a:prstGeom>
        <a:ln w="2222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21981</xdr:colOff>
      <xdr:row>110</xdr:row>
      <xdr:rowOff>127000</xdr:rowOff>
    </xdr:from>
    <xdr:to>
      <xdr:col>12</xdr:col>
      <xdr:colOff>391584</xdr:colOff>
      <xdr:row>111</xdr:row>
      <xdr:rowOff>135141</xdr:rowOff>
    </xdr:to>
    <xdr:cxnSp macro="">
      <xdr:nvCxnSpPr>
        <xdr:cNvPr id="30" name="Straight Arrow Connector 29">
          <a:extLst>
            <a:ext uri="{FF2B5EF4-FFF2-40B4-BE49-F238E27FC236}">
              <a16:creationId xmlns:a16="http://schemas.microsoft.com/office/drawing/2014/main" id="{0F09DFDF-199E-F444-B0EE-DDC49E8BDAB0}"/>
            </a:ext>
          </a:extLst>
        </xdr:cNvPr>
        <xdr:cNvCxnSpPr/>
      </xdr:nvCxnSpPr>
      <xdr:spPr>
        <a:xfrm flipV="1">
          <a:off x="15463064" y="21801667"/>
          <a:ext cx="369603" cy="209224"/>
        </a:xfrm>
        <a:prstGeom prst="straightConnector1">
          <a:avLst/>
        </a:prstGeom>
        <a:ln w="22225">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883465</xdr:colOff>
      <xdr:row>106</xdr:row>
      <xdr:rowOff>52917</xdr:rowOff>
    </xdr:from>
    <xdr:to>
      <xdr:col>12</xdr:col>
      <xdr:colOff>402167</xdr:colOff>
      <xdr:row>107</xdr:row>
      <xdr:rowOff>171124</xdr:rowOff>
    </xdr:to>
    <xdr:cxnSp macro="">
      <xdr:nvCxnSpPr>
        <xdr:cNvPr id="31" name="Straight Arrow Connector 30">
          <a:extLst>
            <a:ext uri="{FF2B5EF4-FFF2-40B4-BE49-F238E27FC236}">
              <a16:creationId xmlns:a16="http://schemas.microsoft.com/office/drawing/2014/main" id="{EEEC937F-E915-8147-AC54-C7F68B1868DF}"/>
            </a:ext>
          </a:extLst>
        </xdr:cNvPr>
        <xdr:cNvCxnSpPr/>
      </xdr:nvCxnSpPr>
      <xdr:spPr>
        <a:xfrm flipV="1">
          <a:off x="15308548" y="20944417"/>
          <a:ext cx="534702" cy="308707"/>
        </a:xfrm>
        <a:prstGeom prst="straightConnector1">
          <a:avLst/>
        </a:prstGeom>
        <a:ln w="22225">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504534</xdr:colOff>
      <xdr:row>39</xdr:row>
      <xdr:rowOff>146625</xdr:rowOff>
    </xdr:from>
    <xdr:to>
      <xdr:col>15</xdr:col>
      <xdr:colOff>681181</xdr:colOff>
      <xdr:row>41</xdr:row>
      <xdr:rowOff>184726</xdr:rowOff>
    </xdr:to>
    <xdr:sp macro="" textlink="">
      <xdr:nvSpPr>
        <xdr:cNvPr id="2" name="TextBox 1">
          <a:extLst>
            <a:ext uri="{FF2B5EF4-FFF2-40B4-BE49-F238E27FC236}">
              <a16:creationId xmlns:a16="http://schemas.microsoft.com/office/drawing/2014/main" id="{00C51F8C-9888-584A-867E-6E96C9E07C8E}"/>
            </a:ext>
          </a:extLst>
        </xdr:cNvPr>
        <xdr:cNvSpPr txBox="1"/>
      </xdr:nvSpPr>
      <xdr:spPr>
        <a:xfrm>
          <a:off x="13724079" y="8401625"/>
          <a:ext cx="3005284" cy="52301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C00000"/>
              </a:solidFill>
            </a:rPr>
            <a:t>Required Rate of Return</a:t>
          </a:r>
          <a:r>
            <a:rPr lang="en-US" sz="1200" b="0" baseline="0">
              <a:solidFill>
                <a:srgbClr val="C00000"/>
              </a:solidFill>
            </a:rPr>
            <a:t> &gt; Expected rate of return. Therefore, the stock is overpriced.</a:t>
          </a:r>
        </a:p>
        <a:p>
          <a:endParaRPr lang="en-US" sz="1200" b="0" baseline="0">
            <a:solidFill>
              <a:srgbClr val="C00000"/>
            </a:solidFill>
          </a:endParaRPr>
        </a:p>
      </xdr:txBody>
    </xdr:sp>
    <xdr:clientData/>
  </xdr:twoCellAnchor>
  <xdr:twoCellAnchor>
    <xdr:from>
      <xdr:col>11</xdr:col>
      <xdr:colOff>1166092</xdr:colOff>
      <xdr:row>39</xdr:row>
      <xdr:rowOff>196272</xdr:rowOff>
    </xdr:from>
    <xdr:to>
      <xdr:col>12</xdr:col>
      <xdr:colOff>450273</xdr:colOff>
      <xdr:row>39</xdr:row>
      <xdr:rowOff>254000</xdr:rowOff>
    </xdr:to>
    <xdr:cxnSp macro="">
      <xdr:nvCxnSpPr>
        <xdr:cNvPr id="4" name="Straight Arrow Connector 3">
          <a:extLst>
            <a:ext uri="{FF2B5EF4-FFF2-40B4-BE49-F238E27FC236}">
              <a16:creationId xmlns:a16="http://schemas.microsoft.com/office/drawing/2014/main" id="{316BB966-BEC1-CE43-AECE-9020286780A4}"/>
            </a:ext>
          </a:extLst>
        </xdr:cNvPr>
        <xdr:cNvCxnSpPr/>
      </xdr:nvCxnSpPr>
      <xdr:spPr>
        <a:xfrm>
          <a:off x="13011728" y="8451272"/>
          <a:ext cx="658090" cy="57728"/>
        </a:xfrm>
        <a:prstGeom prst="straightConnector1">
          <a:avLst/>
        </a:prstGeom>
        <a:ln w="22225">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11</xdr:col>
      <xdr:colOff>1227282</xdr:colOff>
      <xdr:row>40</xdr:row>
      <xdr:rowOff>184727</xdr:rowOff>
    </xdr:from>
    <xdr:to>
      <xdr:col>12</xdr:col>
      <xdr:colOff>438728</xdr:colOff>
      <xdr:row>42</xdr:row>
      <xdr:rowOff>93518</xdr:rowOff>
    </xdr:to>
    <xdr:cxnSp macro="">
      <xdr:nvCxnSpPr>
        <xdr:cNvPr id="5" name="Straight Arrow Connector 4">
          <a:extLst>
            <a:ext uri="{FF2B5EF4-FFF2-40B4-BE49-F238E27FC236}">
              <a16:creationId xmlns:a16="http://schemas.microsoft.com/office/drawing/2014/main" id="{5E7ED8C3-F2B3-754B-94B4-FDFEA882ABFD}"/>
            </a:ext>
          </a:extLst>
        </xdr:cNvPr>
        <xdr:cNvCxnSpPr/>
      </xdr:nvCxnSpPr>
      <xdr:spPr>
        <a:xfrm flipV="1">
          <a:off x="13072918" y="8716818"/>
          <a:ext cx="585355" cy="324427"/>
        </a:xfrm>
        <a:prstGeom prst="straightConnector1">
          <a:avLst/>
        </a:prstGeom>
        <a:ln w="22225">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11</xdr:col>
      <xdr:colOff>1028700</xdr:colOff>
      <xdr:row>29</xdr:row>
      <xdr:rowOff>114300</xdr:rowOff>
    </xdr:from>
    <xdr:to>
      <xdr:col>12</xdr:col>
      <xdr:colOff>12700</xdr:colOff>
      <xdr:row>29</xdr:row>
      <xdr:rowOff>114300</xdr:rowOff>
    </xdr:to>
    <xdr:cxnSp macro="">
      <xdr:nvCxnSpPr>
        <xdr:cNvPr id="12" name="Straight Arrow Connector 11">
          <a:extLst>
            <a:ext uri="{FF2B5EF4-FFF2-40B4-BE49-F238E27FC236}">
              <a16:creationId xmlns:a16="http://schemas.microsoft.com/office/drawing/2014/main" id="{239484FC-7E05-974B-8293-ADBF244E6643}"/>
            </a:ext>
          </a:extLst>
        </xdr:cNvPr>
        <xdr:cNvCxnSpPr/>
      </xdr:nvCxnSpPr>
      <xdr:spPr>
        <a:xfrm>
          <a:off x="12484100" y="7099300"/>
          <a:ext cx="355600" cy="0"/>
        </a:xfrm>
        <a:prstGeom prst="straightConnector1">
          <a:avLst/>
        </a:prstGeom>
        <a:ln w="22225">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308261</xdr:colOff>
      <xdr:row>24</xdr:row>
      <xdr:rowOff>8080</xdr:rowOff>
    </xdr:from>
    <xdr:to>
      <xdr:col>18</xdr:col>
      <xdr:colOff>230909</xdr:colOff>
      <xdr:row>26</xdr:row>
      <xdr:rowOff>184726</xdr:rowOff>
    </xdr:to>
    <xdr:sp macro="" textlink="">
      <xdr:nvSpPr>
        <xdr:cNvPr id="7" name="TextBox 6">
          <a:extLst>
            <a:ext uri="{FF2B5EF4-FFF2-40B4-BE49-F238E27FC236}">
              <a16:creationId xmlns:a16="http://schemas.microsoft.com/office/drawing/2014/main" id="{FE211A87-81F7-3640-ACBF-489EC5462E9C}"/>
            </a:ext>
          </a:extLst>
        </xdr:cNvPr>
        <xdr:cNvSpPr txBox="1"/>
      </xdr:nvSpPr>
      <xdr:spPr>
        <a:xfrm>
          <a:off x="13527806" y="5030353"/>
          <a:ext cx="5245103" cy="661555"/>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4">
                  <a:lumMod val="50000"/>
                </a:schemeClr>
              </a:solidFill>
            </a:rPr>
            <a:t>Since the beta value</a:t>
          </a:r>
          <a:r>
            <a:rPr lang="en-US" sz="1200" b="1" baseline="0">
              <a:solidFill>
                <a:schemeClr val="accent4">
                  <a:lumMod val="50000"/>
                </a:schemeClr>
              </a:solidFill>
            </a:rPr>
            <a:t> is greater than 1 it means that the stock is more volatile compared to the market. From this value we can assumme that  its around 20% more volatile than the market benchmark.</a:t>
          </a:r>
        </a:p>
        <a:p>
          <a:endParaRPr lang="en-US" sz="1200" b="1" baseline="0">
            <a:solidFill>
              <a:schemeClr val="accent4">
                <a:lumMod val="50000"/>
              </a:schemeClr>
            </a:solidFill>
          </a:endParaRPr>
        </a:p>
      </xdr:txBody>
    </xdr:sp>
    <xdr:clientData/>
  </xdr:twoCellAnchor>
  <xdr:twoCellAnchor>
    <xdr:from>
      <xdr:col>11</xdr:col>
      <xdr:colOff>1096819</xdr:colOff>
      <xdr:row>25</xdr:row>
      <xdr:rowOff>103909</xdr:rowOff>
    </xdr:from>
    <xdr:to>
      <xdr:col>12</xdr:col>
      <xdr:colOff>242455</xdr:colOff>
      <xdr:row>25</xdr:row>
      <xdr:rowOff>127000</xdr:rowOff>
    </xdr:to>
    <xdr:cxnSp macro="">
      <xdr:nvCxnSpPr>
        <xdr:cNvPr id="8" name="Straight Arrow Connector 7">
          <a:extLst>
            <a:ext uri="{FF2B5EF4-FFF2-40B4-BE49-F238E27FC236}">
              <a16:creationId xmlns:a16="http://schemas.microsoft.com/office/drawing/2014/main" id="{F01A6414-68B1-F941-873A-C6D1B0757DD9}"/>
            </a:ext>
          </a:extLst>
        </xdr:cNvPr>
        <xdr:cNvCxnSpPr/>
      </xdr:nvCxnSpPr>
      <xdr:spPr>
        <a:xfrm>
          <a:off x="12942455" y="5403273"/>
          <a:ext cx="519545" cy="23091"/>
        </a:xfrm>
        <a:prstGeom prst="straightConnector1">
          <a:avLst/>
        </a:prstGeom>
        <a:ln w="22225">
          <a:tailEnd type="triangle"/>
        </a:ln>
      </xdr:spPr>
      <xdr:style>
        <a:lnRef idx="1">
          <a:schemeClr val="accent4"/>
        </a:lnRef>
        <a:fillRef idx="0">
          <a:schemeClr val="accent4"/>
        </a:fillRef>
        <a:effectRef idx="0">
          <a:schemeClr val="accent4"/>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985E-F369-A941-B63B-706B5B46C0BB}">
  <dimension ref="A4:G181"/>
  <sheetViews>
    <sheetView zoomScale="130" zoomScaleNormal="130" workbookViewId="0">
      <selection activeCell="B97" sqref="B97"/>
    </sheetView>
  </sheetViews>
  <sheetFormatPr baseColWidth="10" defaultColWidth="8.83203125" defaultRowHeight="15" x14ac:dyDescent="0.15"/>
  <cols>
    <col min="1" max="1" width="50" style="53" customWidth="1"/>
    <col min="2" max="196" width="12" style="53" customWidth="1"/>
    <col min="197" max="16384" width="8.83203125" style="53"/>
  </cols>
  <sheetData>
    <row r="4" spans="1:7" x14ac:dyDescent="0.15">
      <c r="A4" s="53" t="s">
        <v>0</v>
      </c>
    </row>
    <row r="5" spans="1:7" x14ac:dyDescent="0.15">
      <c r="A5" s="56" t="s">
        <v>78</v>
      </c>
    </row>
    <row r="7" spans="1:7" ht="16" x14ac:dyDescent="0.15">
      <c r="A7" s="59" t="s">
        <v>262</v>
      </c>
    </row>
    <row r="10" spans="1:7" ht="16" x14ac:dyDescent="0.15">
      <c r="A10" s="60" t="s">
        <v>263</v>
      </c>
    </row>
    <row r="11" spans="1:7" ht="16" x14ac:dyDescent="0.15">
      <c r="A11" s="56" t="s">
        <v>1</v>
      </c>
      <c r="B11" s="60" t="s">
        <v>80</v>
      </c>
      <c r="C11" s="60" t="s">
        <v>81</v>
      </c>
      <c r="D11" s="60" t="s">
        <v>82</v>
      </c>
      <c r="E11" s="60" t="s">
        <v>83</v>
      </c>
      <c r="F11" s="60" t="s">
        <v>84</v>
      </c>
      <c r="G11" s="56"/>
    </row>
    <row r="12" spans="1:7" ht="16" x14ac:dyDescent="0.15">
      <c r="A12" s="56" t="s">
        <v>2</v>
      </c>
      <c r="B12" s="60" t="s">
        <v>3</v>
      </c>
      <c r="C12" s="60" t="s">
        <v>3</v>
      </c>
      <c r="D12" s="60" t="s">
        <v>3</v>
      </c>
      <c r="E12" s="60" t="s">
        <v>3</v>
      </c>
      <c r="F12" s="60" t="s">
        <v>3</v>
      </c>
      <c r="G12" s="56"/>
    </row>
    <row r="13" spans="1:7" ht="16" x14ac:dyDescent="0.15">
      <c r="A13" s="56" t="s">
        <v>4</v>
      </c>
      <c r="B13" s="60" t="s">
        <v>5</v>
      </c>
      <c r="C13" s="60" t="s">
        <v>5</v>
      </c>
      <c r="D13" s="60" t="s">
        <v>5</v>
      </c>
      <c r="E13" s="60" t="s">
        <v>5</v>
      </c>
      <c r="F13" s="60" t="s">
        <v>5</v>
      </c>
      <c r="G13" s="56"/>
    </row>
    <row r="14" spans="1:7" ht="16" x14ac:dyDescent="0.15">
      <c r="A14" s="56" t="s">
        <v>6</v>
      </c>
      <c r="B14" s="60" t="s">
        <v>7</v>
      </c>
      <c r="C14" s="60" t="s">
        <v>7</v>
      </c>
      <c r="D14" s="60" t="s">
        <v>7</v>
      </c>
      <c r="E14" s="60" t="s">
        <v>7</v>
      </c>
      <c r="F14" s="60" t="s">
        <v>7</v>
      </c>
      <c r="G14" s="56"/>
    </row>
    <row r="15" spans="1:7" ht="16" x14ac:dyDescent="0.15">
      <c r="A15" s="56" t="s">
        <v>8</v>
      </c>
      <c r="B15" s="60" t="s">
        <v>9</v>
      </c>
      <c r="C15" s="60" t="s">
        <v>9</v>
      </c>
      <c r="D15" s="60" t="s">
        <v>9</v>
      </c>
      <c r="E15" s="60" t="s">
        <v>9</v>
      </c>
      <c r="F15" s="60" t="s">
        <v>9</v>
      </c>
      <c r="G15" s="56"/>
    </row>
    <row r="16" spans="1:7" x14ac:dyDescent="0.15">
      <c r="A16" s="53" t="s">
        <v>264</v>
      </c>
      <c r="B16" s="65">
        <v>34940000</v>
      </c>
      <c r="C16" s="65">
        <v>38016000</v>
      </c>
      <c r="D16" s="65">
        <v>48844000</v>
      </c>
      <c r="E16" s="65">
        <v>25913000</v>
      </c>
      <c r="F16" s="65">
        <v>20289000</v>
      </c>
    </row>
    <row r="17" spans="1:7" x14ac:dyDescent="0.15">
      <c r="A17" s="53" t="s">
        <v>265</v>
      </c>
      <c r="B17" s="65">
        <v>27699000</v>
      </c>
      <c r="C17" s="65">
        <v>52927000</v>
      </c>
      <c r="D17" s="65">
        <v>51713000</v>
      </c>
      <c r="E17" s="65">
        <v>40388000</v>
      </c>
      <c r="F17" s="65">
        <v>53892000</v>
      </c>
    </row>
    <row r="18" spans="1:7" x14ac:dyDescent="0.15">
      <c r="A18" s="53" t="s">
        <v>266</v>
      </c>
      <c r="B18" s="65">
        <v>62639000</v>
      </c>
      <c r="C18" s="65">
        <v>90943000</v>
      </c>
      <c r="D18" s="65">
        <v>100557000</v>
      </c>
      <c r="E18" s="65">
        <v>66301000</v>
      </c>
      <c r="F18" s="65">
        <v>74181000</v>
      </c>
    </row>
    <row r="19" spans="1:7" x14ac:dyDescent="0.15">
      <c r="A19" s="68" t="s">
        <v>267</v>
      </c>
      <c r="B19" s="65">
        <v>51506000</v>
      </c>
      <c r="C19" s="65">
        <v>37445000</v>
      </c>
      <c r="D19" s="65">
        <v>45804000</v>
      </c>
      <c r="E19" s="65">
        <v>48995000</v>
      </c>
      <c r="F19" s="65">
        <v>35673000</v>
      </c>
    </row>
    <row r="20" spans="1:7" x14ac:dyDescent="0.15">
      <c r="A20" s="53" t="s">
        <v>10</v>
      </c>
      <c r="B20" s="65">
        <v>6580000</v>
      </c>
      <c r="C20" s="65">
        <v>4061000</v>
      </c>
      <c r="D20" s="65">
        <v>4106000</v>
      </c>
      <c r="E20" s="65">
        <v>3956000</v>
      </c>
      <c r="F20" s="65">
        <v>4855000</v>
      </c>
    </row>
    <row r="21" spans="1:7" x14ac:dyDescent="0.15">
      <c r="A21" s="53" t="s">
        <v>268</v>
      </c>
      <c r="B21" s="65">
        <v>14111000</v>
      </c>
      <c r="C21" s="65">
        <v>11264000</v>
      </c>
      <c r="D21" s="65">
        <v>12352000</v>
      </c>
      <c r="E21" s="65">
        <v>12087000</v>
      </c>
      <c r="F21" s="65">
        <v>13936000</v>
      </c>
    </row>
    <row r="22" spans="1:7" x14ac:dyDescent="0.15">
      <c r="A22" s="68" t="s">
        <v>12</v>
      </c>
      <c r="B22" s="65">
        <v>134836000</v>
      </c>
      <c r="C22" s="65">
        <v>143713000</v>
      </c>
      <c r="D22" s="65">
        <v>162819000</v>
      </c>
      <c r="E22" s="65">
        <v>131339000</v>
      </c>
      <c r="F22" s="65">
        <v>128645000</v>
      </c>
    </row>
    <row r="23" spans="1:7" x14ac:dyDescent="0.15">
      <c r="A23" s="53" t="s">
        <v>269</v>
      </c>
      <c r="B23" s="65">
        <v>109723000</v>
      </c>
      <c r="C23" s="65">
        <v>103526000</v>
      </c>
      <c r="D23" s="65">
        <v>95957000</v>
      </c>
      <c r="E23" s="65">
        <v>90403000</v>
      </c>
      <c r="F23" s="65">
        <v>75076000</v>
      </c>
      <c r="G23" s="65"/>
    </row>
    <row r="24" spans="1:7" x14ac:dyDescent="0.15">
      <c r="A24" s="53" t="s">
        <v>270</v>
      </c>
      <c r="B24" s="65">
        <v>70283000</v>
      </c>
      <c r="C24" s="65">
        <v>66760000</v>
      </c>
      <c r="D24" s="65">
        <v>58579000</v>
      </c>
      <c r="E24" s="65">
        <v>49099000</v>
      </c>
      <c r="F24" s="65">
        <v>41293000</v>
      </c>
    </row>
    <row r="25" spans="1:7" x14ac:dyDescent="0.15">
      <c r="A25" s="53" t="s">
        <v>271</v>
      </c>
      <c r="B25" s="65">
        <v>39440000</v>
      </c>
      <c r="C25" s="65">
        <v>36766000</v>
      </c>
      <c r="D25" s="65">
        <v>37378000</v>
      </c>
      <c r="E25" s="65">
        <v>41304000</v>
      </c>
      <c r="F25" s="65">
        <v>33783000</v>
      </c>
    </row>
    <row r="26" spans="1:7" x14ac:dyDescent="0.15">
      <c r="A26" s="53" t="s">
        <v>272</v>
      </c>
      <c r="B26" s="65">
        <v>127877000</v>
      </c>
      <c r="C26" s="65">
        <v>100887000</v>
      </c>
      <c r="D26" s="65">
        <v>105341000</v>
      </c>
      <c r="E26" s="65">
        <v>170799000</v>
      </c>
      <c r="F26" s="65">
        <v>194714000</v>
      </c>
    </row>
    <row r="27" spans="1:7" x14ac:dyDescent="0.15">
      <c r="A27" s="53" t="s">
        <v>273</v>
      </c>
      <c r="B27" s="53" t="s">
        <v>11</v>
      </c>
      <c r="C27" s="53" t="s">
        <v>11</v>
      </c>
      <c r="D27" s="53" t="s">
        <v>11</v>
      </c>
      <c r="E27" s="53" t="s">
        <v>11</v>
      </c>
      <c r="F27" s="65">
        <v>8015000</v>
      </c>
    </row>
    <row r="28" spans="1:7" x14ac:dyDescent="0.15">
      <c r="A28" s="53" t="s">
        <v>274</v>
      </c>
      <c r="B28" s="65">
        <v>48849000</v>
      </c>
      <c r="C28" s="65">
        <v>42522000</v>
      </c>
      <c r="D28" s="65">
        <v>32978000</v>
      </c>
      <c r="E28" s="65">
        <v>22283000</v>
      </c>
      <c r="F28" s="65">
        <v>10162000</v>
      </c>
    </row>
    <row r="29" spans="1:7" x14ac:dyDescent="0.15">
      <c r="A29" s="68" t="s">
        <v>275</v>
      </c>
      <c r="B29" s="65">
        <v>351002000</v>
      </c>
      <c r="C29" s="65">
        <v>323888000</v>
      </c>
      <c r="D29" s="65">
        <v>338516000</v>
      </c>
      <c r="E29" s="65">
        <v>365725000</v>
      </c>
      <c r="F29" s="65">
        <v>375319000</v>
      </c>
    </row>
    <row r="30" spans="1:7" x14ac:dyDescent="0.15">
      <c r="A30" s="53" t="s">
        <v>276</v>
      </c>
      <c r="B30" s="65">
        <v>54763000</v>
      </c>
      <c r="C30" s="65">
        <v>42296000</v>
      </c>
      <c r="D30" s="65">
        <v>46236000</v>
      </c>
      <c r="E30" s="65">
        <v>55888000</v>
      </c>
      <c r="F30" s="65">
        <v>74793000</v>
      </c>
    </row>
    <row r="31" spans="1:7" x14ac:dyDescent="0.15">
      <c r="A31" s="53" t="s">
        <v>277</v>
      </c>
      <c r="B31" s="65">
        <v>54763000</v>
      </c>
      <c r="C31" s="65">
        <v>42296000</v>
      </c>
      <c r="D31" s="65">
        <v>46236000</v>
      </c>
      <c r="E31" s="65">
        <v>55888000</v>
      </c>
      <c r="F31" s="65">
        <v>49049000</v>
      </c>
    </row>
    <row r="32" spans="1:7" x14ac:dyDescent="0.15">
      <c r="A32" s="53" t="s">
        <v>278</v>
      </c>
      <c r="B32" s="53" t="s">
        <v>11</v>
      </c>
      <c r="C32" s="53" t="s">
        <v>11</v>
      </c>
      <c r="D32" s="53" t="s">
        <v>11</v>
      </c>
      <c r="E32" s="53" t="s">
        <v>11</v>
      </c>
      <c r="F32" s="65">
        <v>25744000</v>
      </c>
    </row>
    <row r="33" spans="1:7" x14ac:dyDescent="0.15">
      <c r="A33" s="68" t="s">
        <v>279</v>
      </c>
      <c r="B33" s="65">
        <v>15613000</v>
      </c>
      <c r="C33" s="65">
        <v>13769000</v>
      </c>
      <c r="D33" s="65">
        <v>16240000</v>
      </c>
      <c r="E33" s="65">
        <v>20748000</v>
      </c>
      <c r="F33" s="65">
        <v>18473000</v>
      </c>
      <c r="G33" s="65"/>
    </row>
    <row r="34" spans="1:7" x14ac:dyDescent="0.15">
      <c r="A34" s="53" t="s">
        <v>280</v>
      </c>
      <c r="B34" s="65">
        <v>55105000</v>
      </c>
      <c r="C34" s="65">
        <v>49327000</v>
      </c>
      <c r="D34" s="65">
        <v>43242000</v>
      </c>
      <c r="E34" s="65">
        <v>40230000</v>
      </c>
      <c r="F34" s="65">
        <v>7548000</v>
      </c>
    </row>
    <row r="35" spans="1:7" x14ac:dyDescent="0.15">
      <c r="A35" s="68" t="s">
        <v>13</v>
      </c>
      <c r="B35" s="65">
        <v>125481000</v>
      </c>
      <c r="C35" s="65">
        <v>105392000</v>
      </c>
      <c r="D35" s="65">
        <v>105718000</v>
      </c>
      <c r="E35" s="65">
        <v>116866000</v>
      </c>
      <c r="F35" s="65">
        <v>100814000</v>
      </c>
    </row>
    <row r="36" spans="1:7" x14ac:dyDescent="0.15">
      <c r="A36" s="53" t="s">
        <v>281</v>
      </c>
      <c r="B36" s="65">
        <v>109106000</v>
      </c>
      <c r="C36" s="65">
        <v>98667000</v>
      </c>
      <c r="D36" s="65">
        <v>91807000</v>
      </c>
      <c r="E36" s="65">
        <v>93735000</v>
      </c>
      <c r="F36" s="65">
        <v>97207000</v>
      </c>
    </row>
    <row r="37" spans="1:7" x14ac:dyDescent="0.15">
      <c r="A37" s="53" t="s">
        <v>282</v>
      </c>
      <c r="B37" s="65">
        <v>24689000</v>
      </c>
      <c r="C37" s="65">
        <v>28170000</v>
      </c>
      <c r="D37" s="65">
        <v>29545000</v>
      </c>
      <c r="E37" s="65">
        <v>36812000</v>
      </c>
      <c r="F37" s="65">
        <v>34340000</v>
      </c>
    </row>
    <row r="38" spans="1:7" x14ac:dyDescent="0.15">
      <c r="A38" s="53" t="s">
        <v>283</v>
      </c>
      <c r="B38" s="65">
        <v>0</v>
      </c>
      <c r="C38" s="65">
        <v>0</v>
      </c>
      <c r="D38" s="65">
        <v>0</v>
      </c>
      <c r="E38" s="65">
        <v>0</v>
      </c>
      <c r="F38" s="65">
        <v>0</v>
      </c>
    </row>
    <row r="39" spans="1:7" x14ac:dyDescent="0.15">
      <c r="A39" s="53" t="s">
        <v>284</v>
      </c>
      <c r="B39" s="65">
        <v>28636000</v>
      </c>
      <c r="C39" s="65">
        <v>26320000</v>
      </c>
      <c r="D39" s="65">
        <v>20958000</v>
      </c>
      <c r="E39" s="65">
        <v>11165000</v>
      </c>
      <c r="F39" s="65">
        <v>8911000</v>
      </c>
    </row>
    <row r="40" spans="1:7" x14ac:dyDescent="0.15">
      <c r="A40" s="68" t="s">
        <v>285</v>
      </c>
      <c r="B40" s="65">
        <v>287912000</v>
      </c>
      <c r="C40" s="65">
        <v>258549000</v>
      </c>
      <c r="D40" s="65">
        <v>248028000</v>
      </c>
      <c r="E40" s="65">
        <v>258578000</v>
      </c>
      <c r="F40" s="65">
        <v>241272000</v>
      </c>
    </row>
    <row r="41" spans="1:7" x14ac:dyDescent="0.15">
      <c r="A41" s="53" t="s">
        <v>286</v>
      </c>
      <c r="B41" s="65">
        <v>57365000</v>
      </c>
      <c r="C41" s="65">
        <v>50779000</v>
      </c>
      <c r="D41" s="65">
        <v>45174000</v>
      </c>
      <c r="E41" s="65">
        <v>40201000</v>
      </c>
      <c r="F41" s="65">
        <v>35867000</v>
      </c>
    </row>
    <row r="42" spans="1:7" x14ac:dyDescent="0.15">
      <c r="A42" s="68" t="s">
        <v>14</v>
      </c>
      <c r="B42" s="65">
        <v>5562000</v>
      </c>
      <c r="C42" s="65">
        <v>14966000</v>
      </c>
      <c r="D42" s="65">
        <v>45898000</v>
      </c>
      <c r="E42" s="65">
        <v>70400000</v>
      </c>
      <c r="F42" s="65">
        <v>98330000</v>
      </c>
    </row>
    <row r="43" spans="1:7" x14ac:dyDescent="0.15">
      <c r="A43" s="53" t="s">
        <v>287</v>
      </c>
      <c r="B43" s="65">
        <v>163000</v>
      </c>
      <c r="C43" s="65">
        <v>-406000</v>
      </c>
      <c r="D43" s="65">
        <v>-584000</v>
      </c>
      <c r="E43" s="65">
        <v>-3454000</v>
      </c>
      <c r="F43" s="65">
        <v>-150000</v>
      </c>
    </row>
    <row r="44" spans="1:7" x14ac:dyDescent="0.15">
      <c r="A44" s="53" t="s">
        <v>288</v>
      </c>
      <c r="B44" s="53" t="s">
        <v>11</v>
      </c>
      <c r="C44" s="65">
        <v>-1375000</v>
      </c>
      <c r="D44" s="65">
        <v>-1463000</v>
      </c>
      <c r="E44" s="65">
        <v>-1055000</v>
      </c>
      <c r="F44" s="65">
        <v>-354000</v>
      </c>
    </row>
    <row r="45" spans="1:7" x14ac:dyDescent="0.15">
      <c r="A45" s="53" t="s">
        <v>289</v>
      </c>
      <c r="B45" s="65">
        <v>0</v>
      </c>
      <c r="C45" s="65">
        <v>1375000</v>
      </c>
      <c r="D45" s="65">
        <v>1463000</v>
      </c>
      <c r="E45" s="65">
        <v>1055000</v>
      </c>
      <c r="F45" s="65">
        <v>354000</v>
      </c>
    </row>
    <row r="46" spans="1:7" x14ac:dyDescent="0.15">
      <c r="A46" s="53" t="s">
        <v>290</v>
      </c>
      <c r="B46" s="65">
        <v>63090000</v>
      </c>
      <c r="C46" s="65">
        <v>65339000</v>
      </c>
      <c r="D46" s="65">
        <v>90488000</v>
      </c>
      <c r="E46" s="65">
        <v>107147000</v>
      </c>
      <c r="F46" s="65">
        <v>134047000</v>
      </c>
    </row>
    <row r="47" spans="1:7" x14ac:dyDescent="0.15">
      <c r="A47" s="68" t="s">
        <v>291</v>
      </c>
      <c r="B47" s="65">
        <v>351002000</v>
      </c>
      <c r="C47" s="65">
        <v>323888000</v>
      </c>
      <c r="D47" s="65">
        <v>338516000</v>
      </c>
      <c r="E47" s="65">
        <v>365725000</v>
      </c>
      <c r="F47" s="65">
        <v>375319000</v>
      </c>
    </row>
    <row r="49" spans="1:7" ht="16" x14ac:dyDescent="0.15">
      <c r="A49" s="60" t="s">
        <v>292</v>
      </c>
    </row>
    <row r="50" spans="1:7" ht="16" x14ac:dyDescent="0.15">
      <c r="A50" s="56" t="s">
        <v>1</v>
      </c>
      <c r="B50" s="60" t="s">
        <v>80</v>
      </c>
      <c r="C50" s="60" t="s">
        <v>81</v>
      </c>
      <c r="D50" s="60" t="s">
        <v>82</v>
      </c>
      <c r="E50" s="60" t="s">
        <v>83</v>
      </c>
      <c r="F50" s="60" t="s">
        <v>84</v>
      </c>
      <c r="G50" s="56"/>
    </row>
    <row r="51" spans="1:7" ht="16" x14ac:dyDescent="0.15">
      <c r="A51" s="56" t="s">
        <v>2</v>
      </c>
      <c r="B51" s="60" t="s">
        <v>3</v>
      </c>
      <c r="C51" s="60" t="s">
        <v>3</v>
      </c>
      <c r="D51" s="60" t="s">
        <v>3</v>
      </c>
      <c r="E51" s="60" t="s">
        <v>3</v>
      </c>
      <c r="F51" s="60" t="s">
        <v>3</v>
      </c>
      <c r="G51" s="56"/>
    </row>
    <row r="52" spans="1:7" ht="16" x14ac:dyDescent="0.15">
      <c r="A52" s="56" t="s">
        <v>4</v>
      </c>
      <c r="B52" s="60" t="s">
        <v>5</v>
      </c>
      <c r="C52" s="60" t="s">
        <v>5</v>
      </c>
      <c r="D52" s="60" t="s">
        <v>5</v>
      </c>
      <c r="E52" s="60" t="s">
        <v>5</v>
      </c>
      <c r="F52" s="60" t="s">
        <v>5</v>
      </c>
      <c r="G52" s="56"/>
    </row>
    <row r="53" spans="1:7" ht="16" x14ac:dyDescent="0.15">
      <c r="A53" s="56" t="s">
        <v>6</v>
      </c>
      <c r="B53" s="60" t="s">
        <v>7</v>
      </c>
      <c r="C53" s="60" t="s">
        <v>7</v>
      </c>
      <c r="D53" s="60" t="s">
        <v>7</v>
      </c>
      <c r="E53" s="60" t="s">
        <v>7</v>
      </c>
      <c r="F53" s="60" t="s">
        <v>7</v>
      </c>
      <c r="G53" s="56"/>
    </row>
    <row r="54" spans="1:7" ht="16" x14ac:dyDescent="0.15">
      <c r="A54" s="56" t="s">
        <v>8</v>
      </c>
      <c r="B54" s="60" t="s">
        <v>9</v>
      </c>
      <c r="C54" s="60" t="s">
        <v>9</v>
      </c>
      <c r="D54" s="60" t="s">
        <v>9</v>
      </c>
      <c r="E54" s="60" t="s">
        <v>9</v>
      </c>
      <c r="F54" s="60" t="s">
        <v>9</v>
      </c>
      <c r="G54" s="56"/>
    </row>
    <row r="55" spans="1:7" x14ac:dyDescent="0.15">
      <c r="A55" s="68" t="s">
        <v>293</v>
      </c>
      <c r="B55" s="65">
        <v>365817000</v>
      </c>
      <c r="C55" s="65">
        <v>274515000</v>
      </c>
      <c r="D55" s="65">
        <v>260174000</v>
      </c>
      <c r="E55" s="65">
        <v>265595000</v>
      </c>
      <c r="F55" s="65">
        <v>229234000</v>
      </c>
    </row>
    <row r="56" spans="1:7" x14ac:dyDescent="0.15">
      <c r="A56" s="53" t="s">
        <v>294</v>
      </c>
      <c r="B56" s="65">
        <v>365817000</v>
      </c>
      <c r="C56" s="65">
        <v>274515000</v>
      </c>
      <c r="D56" s="65">
        <v>260174000</v>
      </c>
      <c r="E56" s="65">
        <v>265595000</v>
      </c>
      <c r="F56" s="65">
        <v>229234000</v>
      </c>
    </row>
    <row r="57" spans="1:7" x14ac:dyDescent="0.15">
      <c r="A57" s="53" t="s">
        <v>295</v>
      </c>
      <c r="B57" s="65">
        <v>212981000</v>
      </c>
      <c r="C57" s="65">
        <v>169559000</v>
      </c>
      <c r="D57" s="65">
        <v>161782000</v>
      </c>
      <c r="E57" s="65">
        <v>163756000</v>
      </c>
      <c r="F57" s="65">
        <v>141048000</v>
      </c>
    </row>
    <row r="58" spans="1:7" x14ac:dyDescent="0.15">
      <c r="A58" s="68" t="s">
        <v>296</v>
      </c>
      <c r="B58" s="65">
        <v>152836000</v>
      </c>
      <c r="C58" s="65">
        <v>104956000</v>
      </c>
      <c r="D58" s="65">
        <v>98392000</v>
      </c>
      <c r="E58" s="65">
        <v>101839000</v>
      </c>
      <c r="F58" s="65">
        <v>88186000</v>
      </c>
    </row>
    <row r="59" spans="1:7" x14ac:dyDescent="0.15">
      <c r="A59" s="53" t="s">
        <v>297</v>
      </c>
      <c r="B59" s="65">
        <v>21973000</v>
      </c>
      <c r="C59" s="65">
        <v>19916000</v>
      </c>
      <c r="D59" s="65">
        <v>18245000</v>
      </c>
      <c r="E59" s="65">
        <v>16705000</v>
      </c>
      <c r="F59" s="65">
        <v>15261000</v>
      </c>
    </row>
    <row r="60" spans="1:7" x14ac:dyDescent="0.15">
      <c r="A60" s="53" t="s">
        <v>298</v>
      </c>
      <c r="B60" s="65">
        <v>21914000</v>
      </c>
      <c r="C60" s="65">
        <v>18752000</v>
      </c>
      <c r="D60" s="65">
        <v>16217000</v>
      </c>
      <c r="E60" s="65">
        <v>14236000</v>
      </c>
      <c r="F60" s="65">
        <v>11581000</v>
      </c>
    </row>
    <row r="61" spans="1:7" x14ac:dyDescent="0.15">
      <c r="A61" s="53" t="s">
        <v>299</v>
      </c>
      <c r="B61" s="65">
        <v>0</v>
      </c>
      <c r="C61" s="65">
        <v>0</v>
      </c>
      <c r="D61" s="65">
        <v>0</v>
      </c>
      <c r="E61" s="65">
        <v>0</v>
      </c>
      <c r="F61" s="65">
        <v>0</v>
      </c>
    </row>
    <row r="62" spans="1:7" x14ac:dyDescent="0.15">
      <c r="A62" s="53" t="s">
        <v>300</v>
      </c>
      <c r="B62" s="65">
        <v>43887000</v>
      </c>
      <c r="C62" s="65">
        <v>38668000</v>
      </c>
      <c r="D62" s="65">
        <v>34462000</v>
      </c>
      <c r="E62" s="65">
        <v>30941000</v>
      </c>
      <c r="F62" s="65">
        <v>26842000</v>
      </c>
    </row>
    <row r="63" spans="1:7" x14ac:dyDescent="0.15">
      <c r="A63" s="68" t="s">
        <v>301</v>
      </c>
      <c r="B63" s="65">
        <v>108949000</v>
      </c>
      <c r="C63" s="65">
        <v>66288000</v>
      </c>
      <c r="D63" s="65">
        <v>63930000</v>
      </c>
      <c r="E63" s="65">
        <v>70898000</v>
      </c>
      <c r="F63" s="65">
        <v>61344000</v>
      </c>
    </row>
    <row r="64" spans="1:7" x14ac:dyDescent="0.15">
      <c r="A64" s="53" t="s">
        <v>302</v>
      </c>
      <c r="B64" s="65">
        <v>198000</v>
      </c>
      <c r="C64" s="65">
        <v>890000</v>
      </c>
      <c r="D64" s="65">
        <v>1385000</v>
      </c>
      <c r="E64" s="65">
        <v>2446000</v>
      </c>
      <c r="F64" s="65">
        <v>2878000</v>
      </c>
    </row>
    <row r="65" spans="1:6" x14ac:dyDescent="0.15">
      <c r="A65" s="53" t="s">
        <v>303</v>
      </c>
      <c r="B65" s="65">
        <v>60000</v>
      </c>
      <c r="C65" s="65">
        <v>-87000</v>
      </c>
      <c r="D65" s="65">
        <v>422000</v>
      </c>
      <c r="E65" s="65">
        <v>-441000</v>
      </c>
      <c r="F65" s="65">
        <v>-133000</v>
      </c>
    </row>
    <row r="66" spans="1:6" x14ac:dyDescent="0.15">
      <c r="A66" s="53" t="s">
        <v>304</v>
      </c>
      <c r="B66" s="65">
        <v>258000</v>
      </c>
      <c r="C66" s="65">
        <v>803000</v>
      </c>
      <c r="D66" s="65">
        <v>1807000</v>
      </c>
      <c r="E66" s="65">
        <v>2005000</v>
      </c>
      <c r="F66" s="65">
        <v>2745000</v>
      </c>
    </row>
    <row r="67" spans="1:6" x14ac:dyDescent="0.15">
      <c r="A67" s="68" t="s">
        <v>305</v>
      </c>
      <c r="B67" s="65">
        <v>109207000</v>
      </c>
      <c r="C67" s="65">
        <v>67091000</v>
      </c>
      <c r="D67" s="65">
        <v>65737000</v>
      </c>
      <c r="E67" s="65">
        <v>72903000</v>
      </c>
      <c r="F67" s="65">
        <v>64089000</v>
      </c>
    </row>
    <row r="68" spans="1:6" x14ac:dyDescent="0.15">
      <c r="A68" s="53" t="s">
        <v>306</v>
      </c>
      <c r="B68" s="65">
        <v>14527000</v>
      </c>
      <c r="C68" s="65">
        <v>9680000</v>
      </c>
      <c r="D68" s="65">
        <v>10481000</v>
      </c>
      <c r="E68" s="65">
        <v>13372000</v>
      </c>
      <c r="F68" s="65">
        <v>15738000</v>
      </c>
    </row>
    <row r="69" spans="1:6" x14ac:dyDescent="0.15">
      <c r="A69" s="53" t="s">
        <v>307</v>
      </c>
      <c r="B69" s="65">
        <v>0</v>
      </c>
      <c r="C69" s="65">
        <v>0</v>
      </c>
      <c r="D69" s="65">
        <v>0</v>
      </c>
      <c r="E69" s="65">
        <v>0</v>
      </c>
      <c r="F69" s="65">
        <v>0</v>
      </c>
    </row>
    <row r="70" spans="1:6" x14ac:dyDescent="0.15">
      <c r="A70" s="53" t="s">
        <v>308</v>
      </c>
      <c r="B70" s="65">
        <v>0</v>
      </c>
      <c r="C70" s="65">
        <v>0</v>
      </c>
      <c r="D70" s="65">
        <v>0</v>
      </c>
      <c r="E70" s="65">
        <v>0</v>
      </c>
      <c r="F70" s="65">
        <v>0</v>
      </c>
    </row>
    <row r="71" spans="1:6" x14ac:dyDescent="0.15">
      <c r="A71" s="68" t="s">
        <v>309</v>
      </c>
      <c r="B71" s="65">
        <v>94680000</v>
      </c>
      <c r="C71" s="65">
        <v>57411000</v>
      </c>
      <c r="D71" s="65">
        <v>55256000</v>
      </c>
      <c r="E71" s="65">
        <v>59531000</v>
      </c>
      <c r="F71" s="65">
        <v>48351000</v>
      </c>
    </row>
    <row r="72" spans="1:6" x14ac:dyDescent="0.15">
      <c r="A72" s="53" t="s">
        <v>310</v>
      </c>
      <c r="B72" s="65">
        <v>0</v>
      </c>
      <c r="C72" s="65">
        <v>0</v>
      </c>
      <c r="D72" s="65">
        <v>0</v>
      </c>
      <c r="E72" s="65">
        <v>0</v>
      </c>
      <c r="F72" s="65">
        <v>0</v>
      </c>
    </row>
    <row r="73" spans="1:6" x14ac:dyDescent="0.15">
      <c r="A73" s="53" t="s">
        <v>311</v>
      </c>
      <c r="B73" s="65">
        <v>94680000</v>
      </c>
      <c r="C73" s="65">
        <v>57411000</v>
      </c>
      <c r="D73" s="65">
        <v>55256000</v>
      </c>
      <c r="E73" s="65">
        <v>59531000</v>
      </c>
      <c r="F73" s="65">
        <v>48351000</v>
      </c>
    </row>
    <row r="74" spans="1:6" x14ac:dyDescent="0.15">
      <c r="A74" s="53" t="s">
        <v>312</v>
      </c>
      <c r="B74" s="65">
        <v>16701272</v>
      </c>
      <c r="C74" s="65">
        <v>17352119</v>
      </c>
      <c r="D74" s="65">
        <v>18471336</v>
      </c>
      <c r="E74" s="65">
        <v>19821508</v>
      </c>
      <c r="F74" s="65">
        <v>20868968</v>
      </c>
    </row>
    <row r="75" spans="1:6" x14ac:dyDescent="0.15">
      <c r="A75" s="53" t="s">
        <v>313</v>
      </c>
      <c r="B75" s="67">
        <v>5.67</v>
      </c>
      <c r="C75" s="67">
        <v>3.31</v>
      </c>
      <c r="D75" s="67">
        <v>2.99</v>
      </c>
      <c r="E75" s="65">
        <v>3</v>
      </c>
      <c r="F75" s="67">
        <v>2.3199999999999998</v>
      </c>
    </row>
    <row r="76" spans="1:6" x14ac:dyDescent="0.15">
      <c r="A76" s="53" t="s">
        <v>314</v>
      </c>
      <c r="B76" s="67">
        <v>5.67</v>
      </c>
      <c r="C76" s="67">
        <v>3.31</v>
      </c>
      <c r="D76" s="67">
        <v>2.99</v>
      </c>
      <c r="E76" s="65">
        <v>3</v>
      </c>
      <c r="F76" s="67">
        <v>2.3199999999999998</v>
      </c>
    </row>
    <row r="77" spans="1:6" x14ac:dyDescent="0.15">
      <c r="A77" s="53" t="s">
        <v>315</v>
      </c>
      <c r="B77" s="65">
        <v>16864919</v>
      </c>
      <c r="C77" s="65">
        <v>17528214</v>
      </c>
      <c r="D77" s="65">
        <v>18595652</v>
      </c>
      <c r="E77" s="65">
        <v>20000436</v>
      </c>
      <c r="F77" s="65">
        <v>21006768</v>
      </c>
    </row>
    <row r="78" spans="1:6" x14ac:dyDescent="0.15">
      <c r="A78" s="53" t="s">
        <v>316</v>
      </c>
      <c r="B78" s="67">
        <v>5.61</v>
      </c>
      <c r="C78" s="67">
        <v>3.28</v>
      </c>
      <c r="D78" s="67">
        <v>2.97</v>
      </c>
      <c r="E78" s="67">
        <v>2.98</v>
      </c>
      <c r="F78" s="82">
        <v>2.2999999999999998</v>
      </c>
    </row>
    <row r="79" spans="1:6" x14ac:dyDescent="0.15">
      <c r="A79" s="53" t="s">
        <v>317</v>
      </c>
      <c r="B79" s="67">
        <v>5.61</v>
      </c>
      <c r="C79" s="67">
        <v>3.28</v>
      </c>
      <c r="D79" s="67">
        <v>2.97</v>
      </c>
      <c r="E79" s="67">
        <v>2.98</v>
      </c>
      <c r="F79" s="82">
        <v>2.2999999999999998</v>
      </c>
    </row>
    <row r="80" spans="1:6" x14ac:dyDescent="0.15">
      <c r="A80" s="68" t="s">
        <v>318</v>
      </c>
      <c r="B80" s="65">
        <v>16426786</v>
      </c>
      <c r="C80" s="65">
        <v>16976763</v>
      </c>
      <c r="D80" s="65">
        <v>17772944</v>
      </c>
      <c r="E80" s="65">
        <v>19019944</v>
      </c>
      <c r="F80" s="65">
        <v>20504804</v>
      </c>
    </row>
    <row r="82" spans="1:7" ht="16" x14ac:dyDescent="0.15">
      <c r="A82" s="60" t="s">
        <v>319</v>
      </c>
    </row>
    <row r="83" spans="1:7" ht="16" x14ac:dyDescent="0.15">
      <c r="A83" s="56" t="s">
        <v>1</v>
      </c>
      <c r="B83" s="60" t="s">
        <v>80</v>
      </c>
      <c r="C83" s="60" t="s">
        <v>81</v>
      </c>
      <c r="D83" s="60" t="s">
        <v>82</v>
      </c>
      <c r="E83" s="60" t="s">
        <v>83</v>
      </c>
      <c r="F83" s="60" t="s">
        <v>84</v>
      </c>
      <c r="G83" s="56"/>
    </row>
    <row r="84" spans="1:7" ht="16" x14ac:dyDescent="0.15">
      <c r="A84" s="56" t="s">
        <v>2</v>
      </c>
      <c r="B84" s="60" t="s">
        <v>3</v>
      </c>
      <c r="C84" s="60" t="s">
        <v>3</v>
      </c>
      <c r="D84" s="60" t="s">
        <v>3</v>
      </c>
      <c r="E84" s="60" t="s">
        <v>3</v>
      </c>
      <c r="F84" s="60" t="s">
        <v>3</v>
      </c>
      <c r="G84" s="56"/>
    </row>
    <row r="85" spans="1:7" ht="16" x14ac:dyDescent="0.15">
      <c r="A85" s="56" t="s">
        <v>4</v>
      </c>
      <c r="B85" s="60" t="s">
        <v>5</v>
      </c>
      <c r="C85" s="60" t="s">
        <v>5</v>
      </c>
      <c r="D85" s="60" t="s">
        <v>5</v>
      </c>
      <c r="E85" s="60" t="s">
        <v>5</v>
      </c>
      <c r="F85" s="60" t="s">
        <v>5</v>
      </c>
      <c r="G85" s="56"/>
    </row>
    <row r="86" spans="1:7" ht="16" x14ac:dyDescent="0.15">
      <c r="A86" s="56" t="s">
        <v>6</v>
      </c>
      <c r="B86" s="60" t="s">
        <v>7</v>
      </c>
      <c r="C86" s="60" t="s">
        <v>7</v>
      </c>
      <c r="D86" s="60" t="s">
        <v>7</v>
      </c>
      <c r="E86" s="60" t="s">
        <v>7</v>
      </c>
      <c r="F86" s="60" t="s">
        <v>7</v>
      </c>
      <c r="G86" s="56"/>
    </row>
    <row r="87" spans="1:7" ht="16" x14ac:dyDescent="0.15">
      <c r="A87" s="56" t="s">
        <v>8</v>
      </c>
      <c r="B87" s="60" t="s">
        <v>9</v>
      </c>
      <c r="C87" s="60" t="s">
        <v>9</v>
      </c>
      <c r="D87" s="60" t="s">
        <v>9</v>
      </c>
      <c r="E87" s="60" t="s">
        <v>9</v>
      </c>
      <c r="F87" s="60" t="s">
        <v>9</v>
      </c>
      <c r="G87" s="56"/>
    </row>
    <row r="88" spans="1:7" x14ac:dyDescent="0.15">
      <c r="A88" s="53" t="s">
        <v>320</v>
      </c>
      <c r="B88" s="65">
        <v>14966000</v>
      </c>
      <c r="C88" s="65">
        <v>45898000</v>
      </c>
      <c r="D88" s="65">
        <v>70400000</v>
      </c>
      <c r="E88" s="65">
        <v>98330000</v>
      </c>
      <c r="F88" s="65">
        <v>96364000</v>
      </c>
    </row>
    <row r="89" spans="1:7" x14ac:dyDescent="0.15">
      <c r="A89" s="53" t="s">
        <v>321</v>
      </c>
      <c r="B89" s="65">
        <v>5562000</v>
      </c>
      <c r="C89" s="65">
        <v>14966000</v>
      </c>
      <c r="D89" s="65">
        <v>45898000</v>
      </c>
      <c r="E89" s="65">
        <v>70400000</v>
      </c>
      <c r="F89" s="65">
        <v>98330000</v>
      </c>
    </row>
    <row r="91" spans="1:7" ht="16" x14ac:dyDescent="0.15">
      <c r="A91" s="60" t="s">
        <v>322</v>
      </c>
    </row>
    <row r="92" spans="1:7" ht="16" x14ac:dyDescent="0.15">
      <c r="A92" s="56" t="s">
        <v>1</v>
      </c>
      <c r="B92" s="60" t="s">
        <v>80</v>
      </c>
      <c r="C92" s="60" t="s">
        <v>81</v>
      </c>
      <c r="D92" s="60" t="s">
        <v>82</v>
      </c>
      <c r="E92" s="60" t="s">
        <v>83</v>
      </c>
      <c r="F92" s="60" t="s">
        <v>84</v>
      </c>
      <c r="G92" s="56"/>
    </row>
    <row r="93" spans="1:7" ht="16" x14ac:dyDescent="0.15">
      <c r="A93" s="56" t="s">
        <v>2</v>
      </c>
      <c r="B93" s="60" t="s">
        <v>3</v>
      </c>
      <c r="C93" s="60" t="s">
        <v>3</v>
      </c>
      <c r="D93" s="60" t="s">
        <v>3</v>
      </c>
      <c r="E93" s="60" t="s">
        <v>3</v>
      </c>
      <c r="F93" s="60" t="s">
        <v>3</v>
      </c>
      <c r="G93" s="56"/>
    </row>
    <row r="94" spans="1:7" ht="16" x14ac:dyDescent="0.15">
      <c r="A94" s="56" t="s">
        <v>4</v>
      </c>
      <c r="B94" s="60" t="s">
        <v>5</v>
      </c>
      <c r="C94" s="60" t="s">
        <v>5</v>
      </c>
      <c r="D94" s="60" t="s">
        <v>5</v>
      </c>
      <c r="E94" s="60" t="s">
        <v>5</v>
      </c>
      <c r="F94" s="60" t="s">
        <v>5</v>
      </c>
      <c r="G94" s="56"/>
    </row>
    <row r="95" spans="1:7" ht="16" x14ac:dyDescent="0.15">
      <c r="A95" s="56" t="s">
        <v>6</v>
      </c>
      <c r="B95" s="60" t="s">
        <v>7</v>
      </c>
      <c r="C95" s="60" t="s">
        <v>7</v>
      </c>
      <c r="D95" s="60" t="s">
        <v>7</v>
      </c>
      <c r="E95" s="60" t="s">
        <v>7</v>
      </c>
      <c r="F95" s="60" t="s">
        <v>7</v>
      </c>
      <c r="G95" s="56"/>
    </row>
    <row r="96" spans="1:7" ht="16" x14ac:dyDescent="0.15">
      <c r="A96" s="56" t="s">
        <v>8</v>
      </c>
      <c r="B96" s="60" t="s">
        <v>9</v>
      </c>
      <c r="C96" s="60" t="s">
        <v>9</v>
      </c>
      <c r="D96" s="60" t="s">
        <v>9</v>
      </c>
      <c r="E96" s="60" t="s">
        <v>9</v>
      </c>
      <c r="F96" s="60" t="s">
        <v>9</v>
      </c>
      <c r="G96" s="56"/>
    </row>
    <row r="97" spans="1:6" x14ac:dyDescent="0.15">
      <c r="A97" s="68" t="s">
        <v>309</v>
      </c>
      <c r="B97" s="65">
        <v>94680000</v>
      </c>
      <c r="C97" s="65">
        <v>57411000</v>
      </c>
      <c r="D97" s="65">
        <v>55256000</v>
      </c>
      <c r="E97" s="65">
        <v>59531000</v>
      </c>
      <c r="F97" s="65">
        <v>48351000</v>
      </c>
    </row>
    <row r="98" spans="1:6" x14ac:dyDescent="0.15">
      <c r="A98" s="53" t="s">
        <v>323</v>
      </c>
      <c r="B98" s="65">
        <v>14269000</v>
      </c>
      <c r="C98" s="65">
        <v>17573000</v>
      </c>
      <c r="D98" s="65">
        <v>17623000</v>
      </c>
      <c r="E98" s="65">
        <v>-16791000</v>
      </c>
      <c r="F98" s="65">
        <v>20797000</v>
      </c>
    </row>
    <row r="99" spans="1:6" x14ac:dyDescent="0.15">
      <c r="A99" s="53" t="s">
        <v>324</v>
      </c>
      <c r="B99" s="65">
        <v>-4911000</v>
      </c>
      <c r="C99" s="65">
        <v>5690000</v>
      </c>
      <c r="D99" s="65">
        <v>-3488000</v>
      </c>
      <c r="E99" s="65">
        <v>34694000</v>
      </c>
      <c r="F99" s="65">
        <v>-5550000</v>
      </c>
    </row>
    <row r="100" spans="1:6" x14ac:dyDescent="0.15">
      <c r="A100" s="53" t="s">
        <v>325</v>
      </c>
      <c r="B100" s="65">
        <v>104038000</v>
      </c>
      <c r="C100" s="65">
        <v>80674000</v>
      </c>
      <c r="D100" s="65">
        <v>69391000</v>
      </c>
      <c r="E100" s="65">
        <v>77434000</v>
      </c>
      <c r="F100" s="65">
        <v>63598000</v>
      </c>
    </row>
    <row r="101" spans="1:6" x14ac:dyDescent="0.15">
      <c r="A101" s="53" t="s">
        <v>326</v>
      </c>
      <c r="B101" s="65">
        <v>-11085000</v>
      </c>
      <c r="C101" s="65">
        <v>-7309000</v>
      </c>
      <c r="D101" s="65">
        <v>-10495000</v>
      </c>
      <c r="E101" s="65">
        <v>-13313000</v>
      </c>
      <c r="F101" s="65">
        <v>-12451000</v>
      </c>
    </row>
    <row r="102" spans="1:6" x14ac:dyDescent="0.15">
      <c r="A102" s="53" t="s">
        <v>327</v>
      </c>
      <c r="B102" s="65">
        <v>-109689000</v>
      </c>
      <c r="C102" s="65">
        <v>-115148000</v>
      </c>
      <c r="D102" s="65">
        <v>-40631000</v>
      </c>
      <c r="E102" s="65">
        <v>-73227000</v>
      </c>
      <c r="F102" s="65">
        <v>-159881000</v>
      </c>
    </row>
    <row r="103" spans="1:6" x14ac:dyDescent="0.15">
      <c r="A103" s="53" t="s">
        <v>328</v>
      </c>
      <c r="B103" s="65">
        <v>106870000</v>
      </c>
      <c r="C103" s="65">
        <v>120483000</v>
      </c>
      <c r="D103" s="65">
        <v>98724000</v>
      </c>
      <c r="E103" s="65">
        <v>104072000</v>
      </c>
      <c r="F103" s="65">
        <v>126339000</v>
      </c>
    </row>
    <row r="104" spans="1:6" x14ac:dyDescent="0.15">
      <c r="A104" s="53" t="s">
        <v>329</v>
      </c>
      <c r="B104" s="65">
        <v>-33000</v>
      </c>
      <c r="C104" s="65">
        <v>-1524000</v>
      </c>
      <c r="D104" s="65">
        <v>-624000</v>
      </c>
      <c r="E104" s="65">
        <v>-721000</v>
      </c>
      <c r="F104" s="65">
        <v>-329000</v>
      </c>
    </row>
    <row r="105" spans="1:6" x14ac:dyDescent="0.15">
      <c r="A105" s="53" t="s">
        <v>330</v>
      </c>
      <c r="B105" s="65">
        <v>-608000</v>
      </c>
      <c r="C105" s="65">
        <v>-791000</v>
      </c>
      <c r="D105" s="65">
        <v>-1078000</v>
      </c>
      <c r="E105" s="65">
        <v>-745000</v>
      </c>
      <c r="F105" s="65">
        <v>-124000</v>
      </c>
    </row>
    <row r="106" spans="1:6" x14ac:dyDescent="0.15">
      <c r="A106" s="53" t="s">
        <v>331</v>
      </c>
      <c r="B106" s="65">
        <v>-14545000</v>
      </c>
      <c r="C106" s="65">
        <v>-4289000</v>
      </c>
      <c r="D106" s="65">
        <v>45896000</v>
      </c>
      <c r="E106" s="65">
        <v>16066000</v>
      </c>
      <c r="F106" s="65">
        <v>-46446000</v>
      </c>
    </row>
    <row r="107" spans="1:6" x14ac:dyDescent="0.15">
      <c r="A107" s="53" t="s">
        <v>332</v>
      </c>
      <c r="B107" s="65">
        <v>1022000</v>
      </c>
      <c r="C107" s="65">
        <v>-963000</v>
      </c>
      <c r="D107" s="65">
        <v>-5977000</v>
      </c>
      <c r="E107" s="65">
        <v>-37000</v>
      </c>
      <c r="F107" s="65">
        <v>3852000</v>
      </c>
    </row>
    <row r="108" spans="1:6" x14ac:dyDescent="0.15">
      <c r="A108" s="53" t="s">
        <v>333</v>
      </c>
      <c r="B108" s="65">
        <v>11643000</v>
      </c>
      <c r="C108" s="65">
        <v>3462000</v>
      </c>
      <c r="D108" s="65">
        <v>-1842000</v>
      </c>
      <c r="E108" s="65">
        <v>469000</v>
      </c>
      <c r="F108" s="65">
        <v>25162000</v>
      </c>
    </row>
    <row r="109" spans="1:6" x14ac:dyDescent="0.15">
      <c r="A109" s="53" t="s">
        <v>334</v>
      </c>
      <c r="B109" s="65">
        <v>-84866000</v>
      </c>
      <c r="C109" s="65">
        <v>-71478000</v>
      </c>
      <c r="D109" s="65">
        <v>-66116000</v>
      </c>
      <c r="E109" s="65">
        <v>-72069000</v>
      </c>
      <c r="F109" s="65">
        <v>-31718000</v>
      </c>
    </row>
    <row r="110" spans="1:6" x14ac:dyDescent="0.15">
      <c r="A110" s="53" t="s">
        <v>335</v>
      </c>
      <c r="B110" s="65">
        <v>-14467000</v>
      </c>
      <c r="C110" s="65">
        <v>-14081000</v>
      </c>
      <c r="D110" s="65">
        <v>-14119000</v>
      </c>
      <c r="E110" s="65">
        <v>-13712000</v>
      </c>
      <c r="F110" s="65">
        <v>-12769000</v>
      </c>
    </row>
    <row r="111" spans="1:6" x14ac:dyDescent="0.15">
      <c r="A111" s="53" t="s">
        <v>336</v>
      </c>
      <c r="B111" s="65">
        <v>-6685000</v>
      </c>
      <c r="C111" s="65">
        <v>-3760000</v>
      </c>
      <c r="D111" s="65">
        <v>-2922000</v>
      </c>
      <c r="E111" s="65">
        <v>-2527000</v>
      </c>
      <c r="F111" s="65">
        <v>-1874000</v>
      </c>
    </row>
    <row r="112" spans="1:6" x14ac:dyDescent="0.15">
      <c r="A112" s="53" t="s">
        <v>337</v>
      </c>
      <c r="B112" s="65">
        <v>-93353000</v>
      </c>
      <c r="C112" s="65">
        <v>-86820000</v>
      </c>
      <c r="D112" s="65">
        <v>-90976000</v>
      </c>
      <c r="E112" s="65">
        <v>-87876000</v>
      </c>
      <c r="F112" s="65">
        <v>-17347000</v>
      </c>
    </row>
    <row r="113" spans="1:7" x14ac:dyDescent="0.15">
      <c r="A113" s="53" t="s">
        <v>338</v>
      </c>
      <c r="B113" s="65">
        <v>-3860000</v>
      </c>
      <c r="C113" s="65">
        <v>-10435000</v>
      </c>
      <c r="D113" s="65">
        <v>24311000</v>
      </c>
      <c r="E113" s="65">
        <v>5624000</v>
      </c>
      <c r="F113" s="65">
        <v>-195000</v>
      </c>
    </row>
    <row r="114" spans="1:7" x14ac:dyDescent="0.15">
      <c r="A114" s="53" t="s">
        <v>339</v>
      </c>
      <c r="B114" s="65">
        <v>39789000</v>
      </c>
      <c r="C114" s="65">
        <v>50224000</v>
      </c>
      <c r="D114" s="65">
        <v>25913000</v>
      </c>
      <c r="E114" s="65">
        <v>20289000</v>
      </c>
      <c r="F114" s="65">
        <v>20484000</v>
      </c>
    </row>
    <row r="115" spans="1:7" x14ac:dyDescent="0.15">
      <c r="A115" s="53" t="s">
        <v>340</v>
      </c>
      <c r="B115" s="65">
        <v>35929000</v>
      </c>
      <c r="C115" s="65">
        <v>39789000</v>
      </c>
      <c r="D115" s="65">
        <v>50224000</v>
      </c>
      <c r="E115" s="65">
        <v>25913000</v>
      </c>
      <c r="F115" s="65">
        <v>20289000</v>
      </c>
    </row>
    <row r="116" spans="1:7" x14ac:dyDescent="0.15">
      <c r="A116" s="53" t="s">
        <v>341</v>
      </c>
      <c r="B116" s="65">
        <v>11284000</v>
      </c>
      <c r="C116" s="65">
        <v>11056000</v>
      </c>
      <c r="D116" s="65">
        <v>12547000</v>
      </c>
      <c r="E116" s="65">
        <v>10903000</v>
      </c>
      <c r="F116" s="65">
        <v>10157000</v>
      </c>
    </row>
    <row r="117" spans="1:7" x14ac:dyDescent="0.15">
      <c r="A117" s="53" t="s">
        <v>342</v>
      </c>
      <c r="B117" s="65">
        <v>-11085000</v>
      </c>
      <c r="C117" s="65">
        <v>-7309000</v>
      </c>
      <c r="D117" s="65">
        <v>-10495000</v>
      </c>
      <c r="E117" s="65">
        <v>-13313000</v>
      </c>
      <c r="F117" s="65">
        <v>-12451000</v>
      </c>
    </row>
    <row r="119" spans="1:7" ht="16" x14ac:dyDescent="0.15">
      <c r="A119" s="60" t="s">
        <v>343</v>
      </c>
    </row>
    <row r="120" spans="1:7" ht="16" x14ac:dyDescent="0.15">
      <c r="A120" s="56" t="s">
        <v>1</v>
      </c>
      <c r="B120" s="60" t="s">
        <v>80</v>
      </c>
      <c r="C120" s="60" t="s">
        <v>81</v>
      </c>
      <c r="D120" s="60" t="s">
        <v>82</v>
      </c>
      <c r="E120" s="60" t="s">
        <v>83</v>
      </c>
      <c r="F120" s="60" t="s">
        <v>84</v>
      </c>
      <c r="G120" s="56"/>
    </row>
    <row r="121" spans="1:7" ht="16" x14ac:dyDescent="0.15">
      <c r="A121" s="56" t="s">
        <v>2</v>
      </c>
      <c r="B121" s="60" t="s">
        <v>3</v>
      </c>
      <c r="C121" s="60" t="s">
        <v>3</v>
      </c>
      <c r="D121" s="60" t="s">
        <v>3</v>
      </c>
      <c r="E121" s="60" t="s">
        <v>3</v>
      </c>
      <c r="F121" s="60" t="s">
        <v>3</v>
      </c>
      <c r="G121" s="56"/>
    </row>
    <row r="122" spans="1:7" ht="16" x14ac:dyDescent="0.15">
      <c r="A122" s="56" t="s">
        <v>4</v>
      </c>
      <c r="B122" s="60" t="s">
        <v>5</v>
      </c>
      <c r="C122" s="60" t="s">
        <v>5</v>
      </c>
      <c r="D122" s="60" t="s">
        <v>5</v>
      </c>
      <c r="E122" s="60" t="s">
        <v>5</v>
      </c>
      <c r="F122" s="60" t="s">
        <v>5</v>
      </c>
      <c r="G122" s="56"/>
    </row>
    <row r="123" spans="1:7" ht="16" x14ac:dyDescent="0.15">
      <c r="A123" s="56" t="s">
        <v>6</v>
      </c>
      <c r="B123" s="60" t="s">
        <v>7</v>
      </c>
      <c r="C123" s="60" t="s">
        <v>7</v>
      </c>
      <c r="D123" s="60" t="s">
        <v>7</v>
      </c>
      <c r="E123" s="60" t="s">
        <v>7</v>
      </c>
      <c r="F123" s="60" t="s">
        <v>7</v>
      </c>
      <c r="G123" s="56"/>
    </row>
    <row r="124" spans="1:7" ht="16" x14ac:dyDescent="0.15">
      <c r="A124" s="56" t="s">
        <v>8</v>
      </c>
      <c r="B124" s="60" t="s">
        <v>9</v>
      </c>
      <c r="C124" s="60" t="s">
        <v>9</v>
      </c>
      <c r="D124" s="60" t="s">
        <v>9</v>
      </c>
      <c r="E124" s="60" t="s">
        <v>9</v>
      </c>
      <c r="F124" s="60" t="s">
        <v>9</v>
      </c>
      <c r="G124" s="56"/>
    </row>
    <row r="125" spans="1:7" x14ac:dyDescent="0.15">
      <c r="A125" s="53" t="s">
        <v>344</v>
      </c>
      <c r="B125" s="63">
        <v>9.9540000000000006</v>
      </c>
      <c r="C125" s="63">
        <v>11.737</v>
      </c>
      <c r="D125" s="63">
        <v>14.429</v>
      </c>
      <c r="E125" s="63">
        <v>7.085</v>
      </c>
      <c r="F125" s="63">
        <v>5.4059999999999997</v>
      </c>
    </row>
    <row r="126" spans="1:7" x14ac:dyDescent="0.15">
      <c r="A126" s="53" t="s">
        <v>345</v>
      </c>
      <c r="B126" s="63">
        <v>7.891</v>
      </c>
      <c r="C126" s="63">
        <v>16.341000000000001</v>
      </c>
      <c r="D126" s="63">
        <v>15.276</v>
      </c>
      <c r="E126" s="63">
        <v>11.042999999999999</v>
      </c>
      <c r="F126" s="63">
        <v>14.359</v>
      </c>
    </row>
    <row r="127" spans="1:7" x14ac:dyDescent="0.15">
      <c r="A127" s="53" t="s">
        <v>346</v>
      </c>
      <c r="B127" s="63">
        <v>17.846</v>
      </c>
      <c r="C127" s="63">
        <v>28.079000000000001</v>
      </c>
      <c r="D127" s="63">
        <v>29.704999999999998</v>
      </c>
      <c r="E127" s="63">
        <v>18.129000000000001</v>
      </c>
      <c r="F127" s="63">
        <v>19.765000000000001</v>
      </c>
    </row>
    <row r="128" spans="1:7" x14ac:dyDescent="0.15">
      <c r="A128" s="53" t="s">
        <v>347</v>
      </c>
      <c r="B128" s="63">
        <v>14.673999999999999</v>
      </c>
      <c r="C128" s="63">
        <v>11.561</v>
      </c>
      <c r="D128" s="63">
        <v>13.531000000000001</v>
      </c>
      <c r="E128" s="63">
        <v>13.397</v>
      </c>
      <c r="F128" s="63">
        <v>9.5050000000000008</v>
      </c>
    </row>
    <row r="129" spans="1:6" x14ac:dyDescent="0.15">
      <c r="A129" s="53" t="s">
        <v>348</v>
      </c>
      <c r="B129" s="63">
        <v>1.875</v>
      </c>
      <c r="C129" s="63">
        <v>1.254</v>
      </c>
      <c r="D129" s="63">
        <v>1.2130000000000001</v>
      </c>
      <c r="E129" s="63">
        <v>1.0820000000000001</v>
      </c>
      <c r="F129" s="63">
        <v>1.294</v>
      </c>
    </row>
    <row r="130" spans="1:6" x14ac:dyDescent="0.15">
      <c r="A130" s="53" t="s">
        <v>349</v>
      </c>
      <c r="B130" s="63">
        <v>4.0199999999999996</v>
      </c>
      <c r="C130" s="63">
        <v>3.4780000000000002</v>
      </c>
      <c r="D130" s="63">
        <v>3.649</v>
      </c>
      <c r="E130" s="63">
        <v>3.3050000000000002</v>
      </c>
      <c r="F130" s="63">
        <v>3.7130000000000001</v>
      </c>
    </row>
    <row r="131" spans="1:6" x14ac:dyDescent="0.15">
      <c r="A131" s="53" t="s">
        <v>350</v>
      </c>
      <c r="B131" s="63">
        <v>38.414999999999999</v>
      </c>
      <c r="C131" s="63">
        <v>44.371000000000002</v>
      </c>
      <c r="D131" s="63">
        <v>48.097999999999999</v>
      </c>
      <c r="E131" s="63">
        <v>35.911999999999999</v>
      </c>
      <c r="F131" s="63">
        <v>34.276000000000003</v>
      </c>
    </row>
    <row r="132" spans="1:6" x14ac:dyDescent="0.15">
      <c r="A132" s="53" t="s">
        <v>351</v>
      </c>
      <c r="B132" s="63">
        <v>31.26</v>
      </c>
      <c r="C132" s="63">
        <v>31.963999999999999</v>
      </c>
      <c r="D132" s="63">
        <v>28.346</v>
      </c>
      <c r="E132" s="63">
        <v>24.719000000000001</v>
      </c>
      <c r="F132" s="63">
        <v>20.003</v>
      </c>
    </row>
    <row r="133" spans="1:6" x14ac:dyDescent="0.15">
      <c r="A133" s="53" t="s">
        <v>352</v>
      </c>
      <c r="B133" s="63">
        <v>20.024000000000001</v>
      </c>
      <c r="C133" s="63">
        <v>20.611999999999998</v>
      </c>
      <c r="D133" s="63">
        <v>17.305</v>
      </c>
      <c r="E133" s="63">
        <v>13.425000000000001</v>
      </c>
      <c r="F133" s="63">
        <v>11.002000000000001</v>
      </c>
    </row>
    <row r="134" spans="1:6" x14ac:dyDescent="0.15">
      <c r="A134" s="53" t="s">
        <v>353</v>
      </c>
      <c r="B134" s="63">
        <v>11.236000000000001</v>
      </c>
      <c r="C134" s="63">
        <v>11.351000000000001</v>
      </c>
      <c r="D134" s="63">
        <v>11.042</v>
      </c>
      <c r="E134" s="63">
        <v>11.294</v>
      </c>
      <c r="F134" s="63">
        <v>9.0009999999999994</v>
      </c>
    </row>
    <row r="135" spans="1:6" x14ac:dyDescent="0.15">
      <c r="A135" s="53" t="s">
        <v>354</v>
      </c>
      <c r="B135" s="63">
        <v>36.432000000000002</v>
      </c>
      <c r="C135" s="63">
        <v>31.149000000000001</v>
      </c>
      <c r="D135" s="63">
        <v>31.117999999999999</v>
      </c>
      <c r="E135" s="63">
        <v>46.701000000000001</v>
      </c>
      <c r="F135" s="63">
        <v>51.88</v>
      </c>
    </row>
    <row r="136" spans="1:6" x14ac:dyDescent="0.15">
      <c r="A136" s="53" t="s">
        <v>355</v>
      </c>
      <c r="B136" s="53" t="s">
        <v>11</v>
      </c>
      <c r="C136" s="53" t="s">
        <v>11</v>
      </c>
      <c r="D136" s="53" t="s">
        <v>11</v>
      </c>
      <c r="E136" s="53" t="s">
        <v>11</v>
      </c>
      <c r="F136" s="63">
        <v>2.1360000000000001</v>
      </c>
    </row>
    <row r="137" spans="1:6" x14ac:dyDescent="0.15">
      <c r="A137" s="53" t="s">
        <v>356</v>
      </c>
      <c r="B137" s="63">
        <v>13.917</v>
      </c>
      <c r="C137" s="63">
        <v>13.129</v>
      </c>
      <c r="D137" s="63">
        <v>9.7420000000000009</v>
      </c>
      <c r="E137" s="63">
        <v>6.093</v>
      </c>
      <c r="F137" s="63">
        <v>2.7080000000000002</v>
      </c>
    </row>
    <row r="138" spans="1:6" x14ac:dyDescent="0.15">
      <c r="A138" s="53" t="s">
        <v>357</v>
      </c>
      <c r="B138" s="65">
        <v>100</v>
      </c>
      <c r="C138" s="65">
        <v>100</v>
      </c>
      <c r="D138" s="65">
        <v>100</v>
      </c>
      <c r="E138" s="65">
        <v>100</v>
      </c>
      <c r="F138" s="65">
        <v>100</v>
      </c>
    </row>
    <row r="139" spans="1:6" x14ac:dyDescent="0.15">
      <c r="A139" s="53" t="s">
        <v>358</v>
      </c>
      <c r="B139" s="63">
        <v>15.602</v>
      </c>
      <c r="C139" s="63">
        <v>13.058999999999999</v>
      </c>
      <c r="D139" s="63">
        <v>13.657999999999999</v>
      </c>
      <c r="E139" s="63">
        <v>15.281000000000001</v>
      </c>
      <c r="F139" s="63">
        <v>19.928000000000001</v>
      </c>
    </row>
    <row r="140" spans="1:6" x14ac:dyDescent="0.15">
      <c r="A140" s="53" t="s">
        <v>359</v>
      </c>
      <c r="B140" s="63">
        <v>15.602</v>
      </c>
      <c r="C140" s="63">
        <v>13.058999999999999</v>
      </c>
      <c r="D140" s="63">
        <v>13.657999999999999</v>
      </c>
      <c r="E140" s="63">
        <v>15.281000000000001</v>
      </c>
      <c r="F140" s="63">
        <v>13.069000000000001</v>
      </c>
    </row>
    <row r="141" spans="1:6" x14ac:dyDescent="0.15">
      <c r="A141" s="53" t="s">
        <v>360</v>
      </c>
      <c r="B141" s="53" t="s">
        <v>11</v>
      </c>
      <c r="C141" s="53" t="s">
        <v>11</v>
      </c>
      <c r="D141" s="53" t="s">
        <v>11</v>
      </c>
      <c r="E141" s="53" t="s">
        <v>11</v>
      </c>
      <c r="F141" s="63">
        <v>6.859</v>
      </c>
    </row>
    <row r="142" spans="1:6" x14ac:dyDescent="0.15">
      <c r="A142" s="53" t="s">
        <v>361</v>
      </c>
      <c r="B142" s="63">
        <v>4.4480000000000004</v>
      </c>
      <c r="C142" s="63">
        <v>4.2510000000000003</v>
      </c>
      <c r="D142" s="63">
        <v>4.7969999999999997</v>
      </c>
      <c r="E142" s="63">
        <v>5.673</v>
      </c>
      <c r="F142" s="63">
        <v>4.9219999999999997</v>
      </c>
    </row>
    <row r="143" spans="1:6" x14ac:dyDescent="0.15">
      <c r="A143" s="53" t="s">
        <v>362</v>
      </c>
      <c r="B143" s="63">
        <v>15.699</v>
      </c>
      <c r="C143" s="63">
        <v>15.23</v>
      </c>
      <c r="D143" s="63">
        <v>12.773999999999999</v>
      </c>
      <c r="E143" s="65">
        <v>11</v>
      </c>
      <c r="F143" s="63">
        <v>2.0110000000000001</v>
      </c>
    </row>
    <row r="144" spans="1:6" x14ac:dyDescent="0.15">
      <c r="A144" s="53" t="s">
        <v>363</v>
      </c>
      <c r="B144" s="63">
        <v>35.749000000000002</v>
      </c>
      <c r="C144" s="63">
        <v>32.54</v>
      </c>
      <c r="D144" s="63">
        <v>31.23</v>
      </c>
      <c r="E144" s="63">
        <v>31.954999999999998</v>
      </c>
      <c r="F144" s="63">
        <v>26.861000000000001</v>
      </c>
    </row>
    <row r="145" spans="1:7" x14ac:dyDescent="0.15">
      <c r="A145" s="53" t="s">
        <v>364</v>
      </c>
      <c r="B145" s="63">
        <v>31.084</v>
      </c>
      <c r="C145" s="63">
        <v>30.463000000000001</v>
      </c>
      <c r="D145" s="63">
        <v>27.12</v>
      </c>
      <c r="E145" s="63">
        <v>25.63</v>
      </c>
      <c r="F145" s="63">
        <v>25.9</v>
      </c>
    </row>
    <row r="146" spans="1:7" x14ac:dyDescent="0.15">
      <c r="A146" s="53" t="s">
        <v>365</v>
      </c>
      <c r="B146" s="63">
        <v>7.0339999999999998</v>
      </c>
      <c r="C146" s="63">
        <v>8.6969999999999992</v>
      </c>
      <c r="D146" s="63">
        <v>8.7279999999999998</v>
      </c>
      <c r="E146" s="63">
        <v>10.065</v>
      </c>
      <c r="F146" s="63">
        <v>9.15</v>
      </c>
    </row>
    <row r="147" spans="1:7" x14ac:dyDescent="0.15">
      <c r="A147" s="53" t="s">
        <v>366</v>
      </c>
      <c r="B147" s="65">
        <v>0</v>
      </c>
      <c r="C147" s="65">
        <v>0</v>
      </c>
      <c r="D147" s="65">
        <v>0</v>
      </c>
      <c r="E147" s="65">
        <v>0</v>
      </c>
      <c r="F147" s="65">
        <v>0</v>
      </c>
    </row>
    <row r="148" spans="1:7" x14ac:dyDescent="0.15">
      <c r="A148" s="53" t="s">
        <v>367</v>
      </c>
      <c r="B148" s="63">
        <v>8.1579999999999995</v>
      </c>
      <c r="C148" s="63">
        <v>8.1259999999999994</v>
      </c>
      <c r="D148" s="63">
        <v>6.1909999999999998</v>
      </c>
      <c r="E148" s="63">
        <v>3.0529999999999999</v>
      </c>
      <c r="F148" s="63">
        <v>2.3740000000000001</v>
      </c>
    </row>
    <row r="149" spans="1:7" x14ac:dyDescent="0.15">
      <c r="A149" s="53" t="s">
        <v>368</v>
      </c>
      <c r="B149" s="63">
        <v>82.025999999999996</v>
      </c>
      <c r="C149" s="63">
        <v>79.826999999999998</v>
      </c>
      <c r="D149" s="63">
        <v>73.269000000000005</v>
      </c>
      <c r="E149" s="63">
        <v>70.703000000000003</v>
      </c>
      <c r="F149" s="63">
        <v>64.284999999999997</v>
      </c>
    </row>
    <row r="150" spans="1:7" x14ac:dyDescent="0.15">
      <c r="A150" s="53" t="s">
        <v>369</v>
      </c>
      <c r="B150" s="63">
        <v>16.343</v>
      </c>
      <c r="C150" s="63">
        <v>15.678000000000001</v>
      </c>
      <c r="D150" s="63">
        <v>13.345000000000001</v>
      </c>
      <c r="E150" s="63">
        <v>10.992000000000001</v>
      </c>
      <c r="F150" s="63">
        <v>9.5559999999999992</v>
      </c>
    </row>
    <row r="151" spans="1:7" x14ac:dyDescent="0.15">
      <c r="A151" s="53" t="s">
        <v>370</v>
      </c>
      <c r="B151" s="63">
        <v>1.585</v>
      </c>
      <c r="C151" s="63">
        <v>4.6210000000000004</v>
      </c>
      <c r="D151" s="63">
        <v>13.558999999999999</v>
      </c>
      <c r="E151" s="63">
        <v>19.248999999999999</v>
      </c>
      <c r="F151" s="63">
        <v>26.199000000000002</v>
      </c>
    </row>
    <row r="152" spans="1:7" x14ac:dyDescent="0.15">
      <c r="A152" s="53" t="s">
        <v>371</v>
      </c>
      <c r="B152" s="63">
        <v>4.5999999999999999E-2</v>
      </c>
      <c r="C152" s="63">
        <v>-0.125</v>
      </c>
      <c r="D152" s="63">
        <v>-0.17299999999999999</v>
      </c>
      <c r="E152" s="63">
        <v>-0.94399999999999995</v>
      </c>
      <c r="F152" s="63">
        <v>-0.04</v>
      </c>
    </row>
    <row r="153" spans="1:7" x14ac:dyDescent="0.15">
      <c r="A153" s="53" t="s">
        <v>372</v>
      </c>
      <c r="B153" s="65">
        <v>0</v>
      </c>
      <c r="C153" s="63">
        <v>0.42499999999999999</v>
      </c>
      <c r="D153" s="63">
        <v>0.432</v>
      </c>
      <c r="E153" s="63">
        <v>0.28799999999999998</v>
      </c>
      <c r="F153" s="63">
        <v>9.4E-2</v>
      </c>
    </row>
    <row r="154" spans="1:7" x14ac:dyDescent="0.15">
      <c r="A154" s="53" t="s">
        <v>373</v>
      </c>
      <c r="B154" s="63">
        <v>17.974</v>
      </c>
      <c r="C154" s="63">
        <v>20.172999999999998</v>
      </c>
      <c r="D154" s="63">
        <v>26.731000000000002</v>
      </c>
      <c r="E154" s="63">
        <v>29.297000000000001</v>
      </c>
      <c r="F154" s="63">
        <v>35.715000000000003</v>
      </c>
    </row>
    <row r="155" spans="1:7" x14ac:dyDescent="0.15">
      <c r="A155" s="53" t="s">
        <v>374</v>
      </c>
      <c r="B155" s="65">
        <v>100</v>
      </c>
      <c r="C155" s="65">
        <v>100</v>
      </c>
      <c r="D155" s="65">
        <v>100</v>
      </c>
      <c r="E155" s="65">
        <v>100</v>
      </c>
      <c r="F155" s="65">
        <v>100</v>
      </c>
    </row>
    <row r="157" spans="1:7" ht="16" x14ac:dyDescent="0.15">
      <c r="A157" s="60" t="s">
        <v>375</v>
      </c>
    </row>
    <row r="158" spans="1:7" ht="16" x14ac:dyDescent="0.15">
      <c r="A158" s="56" t="s">
        <v>1</v>
      </c>
      <c r="B158" s="60" t="s">
        <v>80</v>
      </c>
      <c r="C158" s="60" t="s">
        <v>81</v>
      </c>
      <c r="D158" s="60" t="s">
        <v>82</v>
      </c>
      <c r="E158" s="60" t="s">
        <v>83</v>
      </c>
      <c r="F158" s="60" t="s">
        <v>84</v>
      </c>
      <c r="G158" s="56"/>
    </row>
    <row r="159" spans="1:7" ht="16" x14ac:dyDescent="0.15">
      <c r="A159" s="56" t="s">
        <v>2</v>
      </c>
      <c r="B159" s="60" t="s">
        <v>3</v>
      </c>
      <c r="C159" s="60" t="s">
        <v>3</v>
      </c>
      <c r="D159" s="60" t="s">
        <v>3</v>
      </c>
      <c r="E159" s="60" t="s">
        <v>3</v>
      </c>
      <c r="F159" s="60" t="s">
        <v>3</v>
      </c>
      <c r="G159" s="56"/>
    </row>
    <row r="160" spans="1:7" ht="16" x14ac:dyDescent="0.15">
      <c r="A160" s="56" t="s">
        <v>4</v>
      </c>
      <c r="B160" s="60" t="s">
        <v>5</v>
      </c>
      <c r="C160" s="60" t="s">
        <v>5</v>
      </c>
      <c r="D160" s="60" t="s">
        <v>5</v>
      </c>
      <c r="E160" s="60" t="s">
        <v>5</v>
      </c>
      <c r="F160" s="60" t="s">
        <v>5</v>
      </c>
      <c r="G160" s="56"/>
    </row>
    <row r="161" spans="1:7" ht="16" x14ac:dyDescent="0.15">
      <c r="A161" s="56" t="s">
        <v>6</v>
      </c>
      <c r="B161" s="60" t="s">
        <v>7</v>
      </c>
      <c r="C161" s="60" t="s">
        <v>7</v>
      </c>
      <c r="D161" s="60" t="s">
        <v>7</v>
      </c>
      <c r="E161" s="60" t="s">
        <v>7</v>
      </c>
      <c r="F161" s="60" t="s">
        <v>7</v>
      </c>
      <c r="G161" s="56"/>
    </row>
    <row r="162" spans="1:7" ht="16" x14ac:dyDescent="0.15">
      <c r="A162" s="56" t="s">
        <v>8</v>
      </c>
      <c r="B162" s="60" t="s">
        <v>9</v>
      </c>
      <c r="C162" s="60" t="s">
        <v>9</v>
      </c>
      <c r="D162" s="60" t="s">
        <v>9</v>
      </c>
      <c r="E162" s="60" t="s">
        <v>9</v>
      </c>
      <c r="F162" s="60" t="s">
        <v>9</v>
      </c>
      <c r="G162" s="56"/>
    </row>
    <row r="163" spans="1:7" x14ac:dyDescent="0.15">
      <c r="A163" s="53" t="s">
        <v>376</v>
      </c>
      <c r="B163" s="65">
        <v>100</v>
      </c>
      <c r="C163" s="65">
        <v>100</v>
      </c>
      <c r="D163" s="65">
        <v>100</v>
      </c>
      <c r="E163" s="65">
        <v>100</v>
      </c>
      <c r="F163" s="65">
        <v>100</v>
      </c>
    </row>
    <row r="164" spans="1:7" x14ac:dyDescent="0.15">
      <c r="A164" s="53" t="s">
        <v>377</v>
      </c>
      <c r="B164" s="65">
        <v>100</v>
      </c>
      <c r="C164" s="65">
        <v>100</v>
      </c>
      <c r="D164" s="65">
        <v>100</v>
      </c>
      <c r="E164" s="65">
        <v>100</v>
      </c>
      <c r="F164" s="65">
        <v>100</v>
      </c>
    </row>
    <row r="165" spans="1:7" x14ac:dyDescent="0.15">
      <c r="A165" s="53" t="s">
        <v>378</v>
      </c>
      <c r="B165" s="63">
        <v>58.220999999999997</v>
      </c>
      <c r="C165" s="63">
        <v>61.767000000000003</v>
      </c>
      <c r="D165" s="63">
        <v>62.182000000000002</v>
      </c>
      <c r="E165" s="63">
        <v>61.655999999999999</v>
      </c>
      <c r="F165" s="63">
        <v>61.53</v>
      </c>
    </row>
    <row r="166" spans="1:7" x14ac:dyDescent="0.15">
      <c r="A166" s="53" t="s">
        <v>379</v>
      </c>
      <c r="B166" s="63">
        <v>41.779000000000003</v>
      </c>
      <c r="C166" s="63">
        <v>38.232999999999997</v>
      </c>
      <c r="D166" s="63">
        <v>37.817999999999998</v>
      </c>
      <c r="E166" s="63">
        <v>38.344000000000001</v>
      </c>
      <c r="F166" s="63">
        <v>38.47</v>
      </c>
    </row>
    <row r="167" spans="1:7" x14ac:dyDescent="0.15">
      <c r="A167" s="53" t="s">
        <v>380</v>
      </c>
      <c r="B167" s="63">
        <v>6.0069999999999997</v>
      </c>
      <c r="C167" s="63">
        <v>7.2549999999999999</v>
      </c>
      <c r="D167" s="63">
        <v>7.0129999999999999</v>
      </c>
      <c r="E167" s="63">
        <v>6.29</v>
      </c>
      <c r="F167" s="63">
        <v>6.657</v>
      </c>
    </row>
    <row r="168" spans="1:7" x14ac:dyDescent="0.15">
      <c r="A168" s="53" t="s">
        <v>381</v>
      </c>
      <c r="B168" s="63">
        <v>5.99</v>
      </c>
      <c r="C168" s="63">
        <v>6.8310000000000004</v>
      </c>
      <c r="D168" s="63">
        <v>6.2329999999999997</v>
      </c>
      <c r="E168" s="63">
        <v>5.36</v>
      </c>
      <c r="F168" s="63">
        <v>5.0519999999999996</v>
      </c>
    </row>
    <row r="169" spans="1:7" x14ac:dyDescent="0.15">
      <c r="A169" s="53" t="s">
        <v>382</v>
      </c>
      <c r="B169" s="65">
        <v>0</v>
      </c>
      <c r="C169" s="65">
        <v>0</v>
      </c>
      <c r="D169" s="65">
        <v>0</v>
      </c>
      <c r="E169" s="65">
        <v>0</v>
      </c>
      <c r="F169" s="65">
        <v>0</v>
      </c>
    </row>
    <row r="170" spans="1:7" x14ac:dyDescent="0.15">
      <c r="A170" s="53" t="s">
        <v>383</v>
      </c>
      <c r="B170" s="63">
        <v>11.997</v>
      </c>
      <c r="C170" s="63">
        <v>14.086</v>
      </c>
      <c r="D170" s="63">
        <v>13.246</v>
      </c>
      <c r="E170" s="63">
        <v>11.65</v>
      </c>
      <c r="F170" s="63">
        <v>11.709</v>
      </c>
    </row>
    <row r="171" spans="1:7" x14ac:dyDescent="0.15">
      <c r="A171" s="53" t="s">
        <v>384</v>
      </c>
      <c r="B171" s="63">
        <v>29.782</v>
      </c>
      <c r="C171" s="63">
        <v>24.146999999999998</v>
      </c>
      <c r="D171" s="63">
        <v>24.571999999999999</v>
      </c>
      <c r="E171" s="63">
        <v>26.693999999999999</v>
      </c>
      <c r="F171" s="63">
        <v>26.76</v>
      </c>
    </row>
    <row r="172" spans="1:7" x14ac:dyDescent="0.15">
      <c r="A172" s="53" t="s">
        <v>385</v>
      </c>
      <c r="B172" s="63">
        <v>5.3999999999999999E-2</v>
      </c>
      <c r="C172" s="63">
        <v>0.32400000000000001</v>
      </c>
      <c r="D172" s="63">
        <v>0.53200000000000003</v>
      </c>
      <c r="E172" s="63">
        <v>0.92100000000000004</v>
      </c>
      <c r="F172" s="63">
        <v>1.2549999999999999</v>
      </c>
    </row>
    <row r="173" spans="1:7" x14ac:dyDescent="0.15">
      <c r="A173" s="53" t="s">
        <v>386</v>
      </c>
      <c r="B173" s="63">
        <v>1.6E-2</v>
      </c>
      <c r="C173" s="63">
        <v>-3.2000000000000001E-2</v>
      </c>
      <c r="D173" s="63">
        <v>0.16200000000000001</v>
      </c>
      <c r="E173" s="63">
        <v>-0.16600000000000001</v>
      </c>
      <c r="F173" s="63">
        <v>-5.8000000000000003E-2</v>
      </c>
    </row>
    <row r="174" spans="1:7" x14ac:dyDescent="0.15">
      <c r="A174" s="53" t="s">
        <v>387</v>
      </c>
      <c r="B174" s="63">
        <v>7.0999999999999994E-2</v>
      </c>
      <c r="C174" s="63">
        <v>0.29299999999999998</v>
      </c>
      <c r="D174" s="63">
        <v>0.69499999999999995</v>
      </c>
      <c r="E174" s="63">
        <v>0.755</v>
      </c>
      <c r="F174" s="63">
        <v>1.1970000000000001</v>
      </c>
    </row>
    <row r="175" spans="1:7" x14ac:dyDescent="0.15">
      <c r="A175" s="53" t="s">
        <v>388</v>
      </c>
      <c r="B175" s="63">
        <v>29.853000000000002</v>
      </c>
      <c r="C175" s="63">
        <v>24.44</v>
      </c>
      <c r="D175" s="63">
        <v>25.266999999999999</v>
      </c>
      <c r="E175" s="63">
        <v>27.449000000000002</v>
      </c>
      <c r="F175" s="63">
        <v>27.957999999999998</v>
      </c>
    </row>
    <row r="176" spans="1:7" x14ac:dyDescent="0.15">
      <c r="A176" s="53" t="s">
        <v>389</v>
      </c>
      <c r="B176" s="63">
        <v>3.9710000000000001</v>
      </c>
      <c r="C176" s="63">
        <v>3.5259999999999998</v>
      </c>
      <c r="D176" s="63">
        <v>4.0279999999999996</v>
      </c>
      <c r="E176" s="63">
        <v>5.0350000000000001</v>
      </c>
      <c r="F176" s="63">
        <v>6.8650000000000002</v>
      </c>
    </row>
    <row r="177" spans="1:6" x14ac:dyDescent="0.15">
      <c r="A177" s="53" t="s">
        <v>390</v>
      </c>
      <c r="B177" s="65">
        <v>0</v>
      </c>
      <c r="C177" s="65">
        <v>0</v>
      </c>
      <c r="D177" s="65">
        <v>0</v>
      </c>
      <c r="E177" s="65">
        <v>0</v>
      </c>
      <c r="F177" s="65">
        <v>0</v>
      </c>
    </row>
    <row r="178" spans="1:6" x14ac:dyDescent="0.15">
      <c r="A178" s="53" t="s">
        <v>391</v>
      </c>
      <c r="B178" s="65">
        <v>0</v>
      </c>
      <c r="C178" s="65">
        <v>0</v>
      </c>
      <c r="D178" s="65">
        <v>0</v>
      </c>
      <c r="E178" s="65">
        <v>0</v>
      </c>
      <c r="F178" s="65">
        <v>0</v>
      </c>
    </row>
    <row r="179" spans="1:6" x14ac:dyDescent="0.15">
      <c r="A179" s="53" t="s">
        <v>392</v>
      </c>
      <c r="B179" s="63">
        <v>25.882000000000001</v>
      </c>
      <c r="C179" s="63">
        <v>20.914000000000001</v>
      </c>
      <c r="D179" s="63">
        <v>21.238</v>
      </c>
      <c r="E179" s="63">
        <v>22.414000000000001</v>
      </c>
      <c r="F179" s="63">
        <v>21.091999999999999</v>
      </c>
    </row>
    <row r="180" spans="1:6" x14ac:dyDescent="0.15">
      <c r="A180" s="53" t="s">
        <v>393</v>
      </c>
      <c r="B180" s="65">
        <v>0</v>
      </c>
      <c r="C180" s="65">
        <v>0</v>
      </c>
      <c r="D180" s="65">
        <v>0</v>
      </c>
      <c r="E180" s="65">
        <v>0</v>
      </c>
      <c r="F180" s="65">
        <v>0</v>
      </c>
    </row>
    <row r="181" spans="1:6" x14ac:dyDescent="0.15">
      <c r="A181" s="53" t="s">
        <v>394</v>
      </c>
      <c r="B181" s="63">
        <v>25.882000000000001</v>
      </c>
      <c r="C181" s="63">
        <v>20.914000000000001</v>
      </c>
      <c r="D181" s="63">
        <v>21.238</v>
      </c>
      <c r="E181" s="63">
        <v>22.414000000000001</v>
      </c>
      <c r="F181" s="63">
        <v>21.091999999999999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1356-FA32-4A44-80BC-554396E3EC1C}">
  <dimension ref="A1:X169"/>
  <sheetViews>
    <sheetView tabSelected="1" topLeftCell="C1" zoomScale="132" zoomScaleNormal="120" workbookViewId="0">
      <selection activeCell="F23" sqref="F23"/>
    </sheetView>
  </sheetViews>
  <sheetFormatPr baseColWidth="10" defaultColWidth="8.83203125" defaultRowHeight="15" x14ac:dyDescent="0.15"/>
  <cols>
    <col min="1" max="1" width="39.83203125" style="53" customWidth="1"/>
    <col min="2" max="2" width="15.33203125" style="53" customWidth="1"/>
    <col min="3" max="3" width="14" style="53" customWidth="1"/>
    <col min="4" max="4" width="14.5" style="53" customWidth="1"/>
    <col min="5" max="5" width="15.5" style="53" customWidth="1"/>
    <col min="6" max="6" width="14.6640625" style="53" customWidth="1"/>
    <col min="7" max="7" width="3.33203125" style="53" customWidth="1"/>
    <col min="8" max="8" width="32.33203125" style="53" customWidth="1"/>
    <col min="9" max="10" width="12" style="53" customWidth="1"/>
    <col min="11" max="11" width="15.83203125" style="53" customWidth="1"/>
    <col min="12" max="12" width="13.33203125" style="53" customWidth="1"/>
    <col min="13" max="196" width="12" style="53" customWidth="1"/>
    <col min="197" max="16384" width="8.83203125" style="53"/>
  </cols>
  <sheetData>
    <row r="1" spans="1:13" x14ac:dyDescent="0.15">
      <c r="H1" s="133" t="s">
        <v>244</v>
      </c>
      <c r="I1" s="133"/>
      <c r="J1" s="133"/>
      <c r="K1" s="133"/>
      <c r="L1" s="133"/>
      <c r="M1" s="133"/>
    </row>
    <row r="2" spans="1:13" ht="16" customHeight="1" x14ac:dyDescent="0.15"/>
    <row r="3" spans="1:13" ht="16" x14ac:dyDescent="0.15">
      <c r="H3" s="54" t="s">
        <v>232</v>
      </c>
      <c r="I3" s="55">
        <v>2021</v>
      </c>
      <c r="J3" s="55">
        <v>2020</v>
      </c>
      <c r="K3" s="55">
        <v>2019</v>
      </c>
      <c r="L3" s="55">
        <v>2018</v>
      </c>
      <c r="M3" s="55">
        <v>2017</v>
      </c>
    </row>
    <row r="4" spans="1:13" x14ac:dyDescent="0.15">
      <c r="A4" s="53" t="s">
        <v>0</v>
      </c>
      <c r="H4" s="141" t="s">
        <v>57</v>
      </c>
      <c r="I4" s="141"/>
      <c r="J4" s="141"/>
      <c r="K4" s="141"/>
      <c r="L4" s="141"/>
      <c r="M4" s="141"/>
    </row>
    <row r="5" spans="1:13" ht="15" customHeight="1" x14ac:dyDescent="0.15">
      <c r="A5" s="56" t="s">
        <v>78</v>
      </c>
    </row>
    <row r="6" spans="1:13" ht="16" customHeight="1" x14ac:dyDescent="0.15">
      <c r="H6" s="57" t="s">
        <v>53</v>
      </c>
      <c r="I6" s="58">
        <f>B24/B44</f>
        <v>1.0745531195957954</v>
      </c>
      <c r="J6" s="58">
        <f>C24/C44</f>
        <v>1.3636044481554577</v>
      </c>
      <c r="K6" s="58">
        <f>D24/D44</f>
        <v>1.540125617208044</v>
      </c>
      <c r="L6" s="58">
        <f>E24/E44</f>
        <v>1.1238426916297297</v>
      </c>
      <c r="M6" s="58">
        <f>F24/F44</f>
        <v>1.2760628484139107</v>
      </c>
    </row>
    <row r="7" spans="1:13" ht="15" customHeight="1" x14ac:dyDescent="0.15">
      <c r="A7" s="59"/>
      <c r="H7" s="57" t="s">
        <v>54</v>
      </c>
      <c r="I7" s="58">
        <f>(B24-B21)/B44</f>
        <v>1.0221149018576519</v>
      </c>
      <c r="J7" s="58">
        <f>(C24-C21)/C44</f>
        <v>1.325072111735236</v>
      </c>
      <c r="K7" s="58">
        <f>(D24-D21)/D44</f>
        <v>1.501286441287198</v>
      </c>
      <c r="L7" s="58">
        <f>(E24-E21)/E44</f>
        <v>1.0899919565998666</v>
      </c>
      <c r="M7" s="58">
        <f>(F24-F21)/F44</f>
        <v>1.2279048544844962</v>
      </c>
    </row>
    <row r="9" spans="1:13" x14ac:dyDescent="0.15">
      <c r="H9" s="141" t="s">
        <v>214</v>
      </c>
      <c r="I9" s="141"/>
      <c r="J9" s="141"/>
      <c r="K9" s="141"/>
      <c r="L9" s="141"/>
      <c r="M9" s="141"/>
    </row>
    <row r="10" spans="1:13" ht="16" x14ac:dyDescent="0.15">
      <c r="A10" s="60" t="s">
        <v>79</v>
      </c>
    </row>
    <row r="11" spans="1:13" ht="16" x14ac:dyDescent="0.15">
      <c r="A11" s="56" t="s">
        <v>1</v>
      </c>
      <c r="B11" s="61" t="s">
        <v>80</v>
      </c>
      <c r="C11" s="61" t="s">
        <v>81</v>
      </c>
      <c r="D11" s="61" t="s">
        <v>82</v>
      </c>
      <c r="E11" s="61" t="s">
        <v>83</v>
      </c>
      <c r="F11" s="61" t="s">
        <v>84</v>
      </c>
      <c r="G11" s="56"/>
      <c r="H11" s="57" t="s">
        <v>55</v>
      </c>
      <c r="I11" s="65">
        <f>B36-B57</f>
        <v>63090000</v>
      </c>
      <c r="J11" s="66">
        <f>C36-C57</f>
        <v>65339000</v>
      </c>
      <c r="K11" s="66">
        <f>D36-D57</f>
        <v>90488000</v>
      </c>
      <c r="L11" s="66">
        <f>E36-E57</f>
        <v>107147000</v>
      </c>
      <c r="M11" s="66">
        <f>F36-F57</f>
        <v>134047000</v>
      </c>
    </row>
    <row r="12" spans="1:13" ht="16" x14ac:dyDescent="0.15">
      <c r="A12" s="56" t="s">
        <v>2</v>
      </c>
      <c r="B12" s="60" t="s">
        <v>3</v>
      </c>
      <c r="C12" s="60" t="s">
        <v>3</v>
      </c>
      <c r="D12" s="60" t="s">
        <v>3</v>
      </c>
      <c r="E12" s="60" t="s">
        <v>3</v>
      </c>
      <c r="F12" s="60" t="s">
        <v>3</v>
      </c>
      <c r="G12" s="56"/>
      <c r="H12" s="57" t="s">
        <v>254</v>
      </c>
      <c r="I12" s="62">
        <f>B98/B74</f>
        <v>0.25881793355694238</v>
      </c>
      <c r="J12" s="62">
        <f>C98/C74</f>
        <v>0.20913611278072236</v>
      </c>
      <c r="K12" s="62">
        <f>D98/D74</f>
        <v>0.21238094505984456</v>
      </c>
      <c r="L12" s="62">
        <f>E98/E74</f>
        <v>0.22414202074587247</v>
      </c>
      <c r="M12" s="62">
        <f>F98/F74</f>
        <v>0.21092420845075338</v>
      </c>
    </row>
    <row r="13" spans="1:13" ht="18" customHeight="1" x14ac:dyDescent="0.15">
      <c r="A13" s="56" t="s">
        <v>4</v>
      </c>
      <c r="B13" s="60" t="s">
        <v>5</v>
      </c>
      <c r="C13" s="60" t="s">
        <v>5</v>
      </c>
      <c r="D13" s="60" t="s">
        <v>5</v>
      </c>
      <c r="E13" s="60" t="s">
        <v>5</v>
      </c>
      <c r="F13" s="60" t="s">
        <v>5</v>
      </c>
      <c r="G13" s="56"/>
      <c r="H13" s="84" t="s">
        <v>253</v>
      </c>
      <c r="I13" s="62">
        <f>(B74-B77)/B74</f>
        <v>0.41779359625167778</v>
      </c>
      <c r="J13" s="62">
        <f>(C74-C77)/C74</f>
        <v>0.38233247727810865</v>
      </c>
      <c r="K13" s="62">
        <f>(D74-D77)/D74</f>
        <v>0.37817768109034722</v>
      </c>
      <c r="L13" s="62">
        <f>(E74-E77)/E74</f>
        <v>0.38343718820007905</v>
      </c>
      <c r="M13" s="62">
        <f>(F74-F77)/F74</f>
        <v>0.38469860491899105</v>
      </c>
    </row>
    <row r="14" spans="1:13" ht="16" x14ac:dyDescent="0.15">
      <c r="A14" s="56" t="s">
        <v>6</v>
      </c>
      <c r="B14" s="60" t="s">
        <v>7</v>
      </c>
      <c r="C14" s="60" t="s">
        <v>7</v>
      </c>
      <c r="D14" s="60" t="s">
        <v>7</v>
      </c>
      <c r="E14" s="60" t="s">
        <v>7</v>
      </c>
      <c r="F14" s="60" t="s">
        <v>7</v>
      </c>
      <c r="G14" s="56"/>
      <c r="H14" s="84" t="s">
        <v>257</v>
      </c>
      <c r="I14" s="62">
        <f>B82/B74</f>
        <v>0.29782377527561593</v>
      </c>
      <c r="J14" s="62">
        <f>C82/C74</f>
        <v>0.24147314354406862</v>
      </c>
      <c r="K14" s="62">
        <f>D82/D74</f>
        <v>0.24572017188496928</v>
      </c>
      <c r="L14" s="62">
        <f>E82/E74</f>
        <v>0.26694026619477024</v>
      </c>
      <c r="M14" s="62">
        <f>F82/F74</f>
        <v>0.26760428208729942</v>
      </c>
    </row>
    <row r="15" spans="1:13" ht="19.25" customHeight="1" x14ac:dyDescent="0.15">
      <c r="A15" s="56" t="s">
        <v>8</v>
      </c>
      <c r="B15" s="60" t="s">
        <v>9</v>
      </c>
      <c r="C15" s="60" t="s">
        <v>9</v>
      </c>
      <c r="D15" s="60" t="s">
        <v>9</v>
      </c>
      <c r="E15" s="60" t="s">
        <v>9</v>
      </c>
      <c r="F15" s="60" t="s">
        <v>9</v>
      </c>
      <c r="G15" s="56"/>
      <c r="H15" s="57" t="s">
        <v>255</v>
      </c>
      <c r="I15" s="62">
        <f>B98/B36</f>
        <v>0.26974205275183616</v>
      </c>
      <c r="J15" s="62">
        <f>C98/C36</f>
        <v>0.1772557180259843</v>
      </c>
      <c r="K15" s="62">
        <f>D98/D36</f>
        <v>0.16323009842961633</v>
      </c>
      <c r="L15" s="62">
        <f>E98/E36</f>
        <v>0.16277530931710985</v>
      </c>
      <c r="M15" s="62">
        <f>F98/F36</f>
        <v>0.12882641166580963</v>
      </c>
    </row>
    <row r="16" spans="1:13" ht="16" x14ac:dyDescent="0.15">
      <c r="A16" s="53" t="s">
        <v>85</v>
      </c>
      <c r="B16" s="65">
        <v>34940000</v>
      </c>
      <c r="C16" s="65">
        <v>38016000</v>
      </c>
      <c r="D16" s="65">
        <v>48844000</v>
      </c>
      <c r="E16" s="65">
        <v>25913000</v>
      </c>
      <c r="F16" s="65">
        <v>20289000</v>
      </c>
      <c r="H16" s="57" t="s">
        <v>256</v>
      </c>
      <c r="I16" s="92">
        <f>B98/I11</f>
        <v>1.5007132667617689</v>
      </c>
      <c r="J16" s="92">
        <f>C98/J11</f>
        <v>0.87866358530127486</v>
      </c>
      <c r="K16" s="92">
        <f>D98/K11</f>
        <v>0.61064450534877557</v>
      </c>
      <c r="L16" s="92">
        <f>E98/L11</f>
        <v>0.5556011834209077</v>
      </c>
      <c r="M16" s="92">
        <f>F98/M11</f>
        <v>0.36070184338329092</v>
      </c>
    </row>
    <row r="17" spans="1:18" ht="16" x14ac:dyDescent="0.15">
      <c r="A17" s="53" t="s">
        <v>86</v>
      </c>
      <c r="B17" s="65">
        <v>27699000</v>
      </c>
      <c r="C17" s="65">
        <v>52927000</v>
      </c>
      <c r="D17" s="65">
        <v>51713000</v>
      </c>
      <c r="E17" s="65">
        <v>40388000</v>
      </c>
      <c r="F17" s="65">
        <v>53892000</v>
      </c>
      <c r="H17" s="57" t="s">
        <v>217</v>
      </c>
      <c r="I17" s="63">
        <f>B47/I11</f>
        <v>1.8713425265493739</v>
      </c>
      <c r="J17" s="63">
        <f>C47/J11</f>
        <v>1.6235020431901315</v>
      </c>
      <c r="K17" s="63">
        <f>D47/K11</f>
        <v>1.1236738573070462</v>
      </c>
      <c r="L17" s="63">
        <f>E47/L11</f>
        <v>0.97243039935789144</v>
      </c>
      <c r="M17" s="63">
        <f>F47/M11</f>
        <v>0.77600393891694708</v>
      </c>
    </row>
    <row r="18" spans="1:18" x14ac:dyDescent="0.15">
      <c r="A18" s="53" t="s">
        <v>87</v>
      </c>
      <c r="B18" s="53" t="s">
        <v>11</v>
      </c>
      <c r="C18" s="53" t="s">
        <v>11</v>
      </c>
      <c r="D18" s="53" t="s">
        <v>11</v>
      </c>
      <c r="E18" s="53" t="s">
        <v>11</v>
      </c>
      <c r="F18" s="65">
        <v>17932000</v>
      </c>
      <c r="H18" s="64" t="s">
        <v>237</v>
      </c>
      <c r="I18" s="63">
        <f>B36/I11</f>
        <v>5.5635124425423994</v>
      </c>
      <c r="J18" s="63">
        <f>C36/J11</f>
        <v>4.9570394404566951</v>
      </c>
      <c r="K18" s="63">
        <f>D36/K11</f>
        <v>3.7410043320661304</v>
      </c>
      <c r="L18" s="63">
        <f>E36/L11</f>
        <v>3.4133013523477094</v>
      </c>
      <c r="M18" s="63">
        <f>F36/M11</f>
        <v>2.7999060031183092</v>
      </c>
    </row>
    <row r="19" spans="1:18" x14ac:dyDescent="0.15">
      <c r="A19" s="53" t="s">
        <v>88</v>
      </c>
      <c r="B19" s="53" t="s">
        <v>11</v>
      </c>
      <c r="C19" s="53" t="s">
        <v>11</v>
      </c>
      <c r="D19" s="65" t="s">
        <v>11</v>
      </c>
      <c r="E19" s="53" t="s">
        <v>11</v>
      </c>
      <c r="F19" s="65">
        <v>58000</v>
      </c>
      <c r="H19" s="64" t="s">
        <v>238</v>
      </c>
      <c r="I19" s="63">
        <f>B47/B36</f>
        <v>0.33635990678115796</v>
      </c>
      <c r="J19" s="63">
        <f>C47/C36</f>
        <v>0.32751444943931235</v>
      </c>
      <c r="K19" s="63">
        <f>D47/D36</f>
        <v>0.30036689550863177</v>
      </c>
      <c r="L19" s="63">
        <f>E47/E36</f>
        <v>0.28489438785973065</v>
      </c>
      <c r="M19" s="63">
        <f>F47/F36</f>
        <v>0.27715356803146124</v>
      </c>
    </row>
    <row r="20" spans="1:18" x14ac:dyDescent="0.15">
      <c r="A20" s="53" t="s">
        <v>89</v>
      </c>
      <c r="B20" s="65">
        <v>26278000</v>
      </c>
      <c r="C20" s="65">
        <v>16120000</v>
      </c>
      <c r="D20" s="65">
        <v>22926000</v>
      </c>
      <c r="E20" s="65">
        <v>23186000</v>
      </c>
      <c r="F20" s="65">
        <v>17874000</v>
      </c>
      <c r="H20" s="64" t="s">
        <v>236</v>
      </c>
      <c r="I20" s="107">
        <f>B47/(B47+B64)</f>
        <v>0.6517308573415842</v>
      </c>
      <c r="J20" s="107">
        <f>C47/(C47+C64)</f>
        <v>0.618830104365378</v>
      </c>
      <c r="K20" s="107">
        <f>D47/(D47+D64)</f>
        <v>0.52911790265758429</v>
      </c>
      <c r="L20" s="107">
        <f>E47/(E47+E64)</f>
        <v>0.49301126147440144</v>
      </c>
      <c r="M20" s="107">
        <f>F47/(F47+F64)</f>
        <v>0.43693818572844734</v>
      </c>
    </row>
    <row r="21" spans="1:18" x14ac:dyDescent="0.15">
      <c r="A21" s="68" t="s">
        <v>10</v>
      </c>
      <c r="B21" s="65">
        <v>6580000</v>
      </c>
      <c r="C21" s="65">
        <v>4061000</v>
      </c>
      <c r="D21" s="65">
        <v>4106000</v>
      </c>
      <c r="E21" s="65">
        <v>3956000</v>
      </c>
      <c r="F21" s="65">
        <v>4855000</v>
      </c>
      <c r="H21" s="64" t="s">
        <v>239</v>
      </c>
      <c r="I21" s="63">
        <f>$L$120/I11</f>
        <v>45.390420088445083</v>
      </c>
      <c r="J21" s="63">
        <f>$L$120/J11</f>
        <v>43.82805986286904</v>
      </c>
      <c r="K21" s="63">
        <f>$L$120/K11</f>
        <v>31.647086943904167</v>
      </c>
      <c r="L21" s="63">
        <f>$L$120/L11</f>
        <v>26.726661533967356</v>
      </c>
      <c r="M21" s="63">
        <f>$L$120/M11</f>
        <v>21.363265148641894</v>
      </c>
    </row>
    <row r="22" spans="1:18" ht="16" x14ac:dyDescent="0.15">
      <c r="A22" s="53" t="s">
        <v>90</v>
      </c>
      <c r="B22" s="65">
        <v>25228000</v>
      </c>
      <c r="C22" s="65">
        <v>21325000</v>
      </c>
      <c r="D22" s="65">
        <v>22878000</v>
      </c>
      <c r="E22" s="65">
        <v>25809000</v>
      </c>
      <c r="F22" s="65">
        <v>17799000</v>
      </c>
      <c r="H22" s="57" t="s">
        <v>56</v>
      </c>
      <c r="I22" s="63">
        <f>B74/B36</f>
        <v>1.0422077367080529</v>
      </c>
      <c r="J22" s="63">
        <f>C74/C36</f>
        <v>0.84756150274168851</v>
      </c>
      <c r="K22" s="63">
        <f>D74/D36</f>
        <v>0.76857223883066084</v>
      </c>
      <c r="L22" s="63">
        <f>E74/E36</f>
        <v>0.7262150522933899</v>
      </c>
      <c r="M22" s="63">
        <f>F74/F36</f>
        <v>0.61077110404749024</v>
      </c>
    </row>
    <row r="23" spans="1:18" ht="16" x14ac:dyDescent="0.15">
      <c r="A23" s="53" t="s">
        <v>91</v>
      </c>
      <c r="B23" s="65">
        <v>14111000</v>
      </c>
      <c r="C23" s="65">
        <v>11264000</v>
      </c>
      <c r="D23" s="65">
        <v>12352000</v>
      </c>
      <c r="E23" s="65">
        <v>12087000</v>
      </c>
      <c r="F23" s="65">
        <v>13936000</v>
      </c>
      <c r="H23" s="76" t="s">
        <v>258</v>
      </c>
      <c r="I23" s="67">
        <f>B77/B21</f>
        <v>32.367933130699086</v>
      </c>
      <c r="J23" s="67">
        <f t="shared" ref="J23:M23" si="0">C77/C21</f>
        <v>41.753016498399411</v>
      </c>
      <c r="K23" s="67">
        <f t="shared" si="0"/>
        <v>39.40136385776912</v>
      </c>
      <c r="L23" s="67">
        <f t="shared" si="0"/>
        <v>41.394337714863497</v>
      </c>
      <c r="M23" s="67">
        <f t="shared" si="0"/>
        <v>29.052111225540681</v>
      </c>
    </row>
    <row r="24" spans="1:18" ht="16" x14ac:dyDescent="0.15">
      <c r="A24" s="68" t="s">
        <v>92</v>
      </c>
      <c r="B24" s="65">
        <v>134836000</v>
      </c>
      <c r="C24" s="65">
        <v>143713000</v>
      </c>
      <c r="D24" s="65">
        <v>162819000</v>
      </c>
      <c r="E24" s="65">
        <v>131339000</v>
      </c>
      <c r="F24" s="65">
        <v>128645000</v>
      </c>
      <c r="H24" s="76" t="s">
        <v>395</v>
      </c>
      <c r="I24" s="67">
        <f>'Apple FS'!B19/'Company Analysis'!B74*365</f>
        <v>51.390968708397914</v>
      </c>
      <c r="J24" s="67">
        <f>'Apple FS'!C19/'Company Analysis'!C74*365</f>
        <v>49.78753437881354</v>
      </c>
      <c r="K24" s="67">
        <f>'Apple FS'!D19/'Company Analysis'!D74*365</f>
        <v>64.258765287845833</v>
      </c>
      <c r="L24" s="67">
        <f>'Apple FS'!E19/'Company Analysis'!E74*365</f>
        <v>67.332498729268252</v>
      </c>
      <c r="M24" s="67">
        <f>'Apple FS'!F19/'Company Analysis'!F74*365</f>
        <v>56.800670930141251</v>
      </c>
    </row>
    <row r="25" spans="1:18" ht="16" x14ac:dyDescent="0.15">
      <c r="A25" s="53" t="s">
        <v>86</v>
      </c>
      <c r="B25" s="65">
        <v>127877000</v>
      </c>
      <c r="C25" s="65">
        <v>100887000</v>
      </c>
      <c r="D25" s="65">
        <v>105341000</v>
      </c>
      <c r="E25" s="65">
        <v>170799000</v>
      </c>
      <c r="F25" s="65">
        <v>194714000</v>
      </c>
      <c r="H25" s="76" t="s">
        <v>396</v>
      </c>
      <c r="I25" s="63">
        <f>B74/'Apple FS'!B19</f>
        <v>7.1024152525919311</v>
      </c>
      <c r="J25" s="63">
        <f>C74/'Apple FS'!C19</f>
        <v>7.3311523567899588</v>
      </c>
      <c r="K25" s="63">
        <f>D74/'Apple FS'!D19</f>
        <v>5.6801589380840101</v>
      </c>
      <c r="L25" s="63">
        <f>E74/'Apple FS'!E19</f>
        <v>5.4208592713542201</v>
      </c>
      <c r="M25" s="63">
        <f>F74/'Apple FS'!F19</f>
        <v>6.425980433380988</v>
      </c>
    </row>
    <row r="26" spans="1:18" ht="16" x14ac:dyDescent="0.15">
      <c r="A26" s="53" t="s">
        <v>93</v>
      </c>
      <c r="B26" s="65">
        <v>20041000</v>
      </c>
      <c r="C26" s="65">
        <v>17952000</v>
      </c>
      <c r="D26" s="65">
        <v>17085000</v>
      </c>
      <c r="E26" s="65">
        <v>16216000</v>
      </c>
      <c r="F26" s="65">
        <v>13587000</v>
      </c>
      <c r="H26" s="76" t="s">
        <v>259</v>
      </c>
      <c r="I26" s="109">
        <f>B64/B101</f>
        <v>3.8406782677999214</v>
      </c>
      <c r="J26" s="109">
        <f>C64/C101</f>
        <v>3.8487313512004615</v>
      </c>
      <c r="K26" s="109">
        <f>D64/D101</f>
        <v>5.0913343338053618</v>
      </c>
      <c r="L26" s="109">
        <f>E64/E101</f>
        <v>5.6334024958222804</v>
      </c>
      <c r="M26" s="109">
        <f>F64/F101</f>
        <v>6.5373460775338303</v>
      </c>
    </row>
    <row r="27" spans="1:18" x14ac:dyDescent="0.15">
      <c r="A27" s="53" t="s">
        <v>94</v>
      </c>
      <c r="B27" s="65">
        <v>78659000</v>
      </c>
      <c r="C27" s="65">
        <v>75291000</v>
      </c>
      <c r="D27" s="65">
        <v>69797000</v>
      </c>
      <c r="E27" s="65">
        <v>65982000</v>
      </c>
      <c r="F27" s="65">
        <v>54210000</v>
      </c>
      <c r="H27" s="72" t="s">
        <v>243</v>
      </c>
      <c r="I27" s="67">
        <f>B82/B84</f>
        <v>41.190548204158787</v>
      </c>
      <c r="J27" s="67">
        <f>C82/C84</f>
        <v>23.072746258266619</v>
      </c>
      <c r="K27" s="67">
        <f>D82/D84</f>
        <v>17.877516778523489</v>
      </c>
      <c r="L27" s="67">
        <f>E82/E84</f>
        <v>21.882098765432097</v>
      </c>
      <c r="M27" s="67">
        <f>F82/F84</f>
        <v>26.407232027550581</v>
      </c>
    </row>
    <row r="28" spans="1:18" ht="16" x14ac:dyDescent="0.15">
      <c r="A28" s="53" t="s">
        <v>95</v>
      </c>
      <c r="B28" s="65">
        <v>11023000</v>
      </c>
      <c r="C28" s="65">
        <v>10283000</v>
      </c>
      <c r="D28" s="65">
        <v>9075000</v>
      </c>
      <c r="E28" s="65">
        <v>8205000</v>
      </c>
      <c r="F28" s="65">
        <v>7279000</v>
      </c>
      <c r="H28" s="76" t="s">
        <v>260</v>
      </c>
      <c r="I28" s="110">
        <f>B98/B99</f>
        <v>5.6690292811230183</v>
      </c>
      <c r="J28" s="110">
        <f>C98/C99</f>
        <v>3.3085872682177895</v>
      </c>
      <c r="K28" s="110">
        <f>D98/D99</f>
        <v>2.9914457730615696</v>
      </c>
      <c r="L28" s="110">
        <f>E98/E99</f>
        <v>3.0033537307050504</v>
      </c>
      <c r="M28" s="110">
        <f>F98/F99</f>
        <v>2.3168850515272243</v>
      </c>
      <c r="N28" s="110"/>
    </row>
    <row r="29" spans="1:18" ht="16" x14ac:dyDescent="0.15">
      <c r="A29" s="53" t="s">
        <v>96</v>
      </c>
      <c r="B29" s="65">
        <v>109723000</v>
      </c>
      <c r="C29" s="65">
        <v>103526000</v>
      </c>
      <c r="D29" s="65">
        <v>95957000</v>
      </c>
      <c r="E29" s="65">
        <v>90403000</v>
      </c>
      <c r="F29" s="65">
        <v>75076000</v>
      </c>
      <c r="H29" s="76" t="s">
        <v>261</v>
      </c>
      <c r="I29" s="110">
        <f>B98/B100</f>
        <v>5.6140204408927197</v>
      </c>
      <c r="J29" s="110">
        <f>C98/C100</f>
        <v>3.2753479618630856</v>
      </c>
      <c r="K29" s="110">
        <f>D98/D100</f>
        <v>2.9714473039181417</v>
      </c>
      <c r="L29" s="110">
        <f>E98/E100</f>
        <v>2.9764851126245446</v>
      </c>
      <c r="M29" s="110">
        <f>F98/F100</f>
        <v>2.3016867706636259</v>
      </c>
      <c r="N29" s="62"/>
      <c r="O29" s="62"/>
      <c r="P29" s="62"/>
      <c r="Q29" s="62"/>
      <c r="R29" s="62"/>
    </row>
    <row r="30" spans="1:18" x14ac:dyDescent="0.15">
      <c r="A30" s="53" t="s">
        <v>97</v>
      </c>
      <c r="B30" s="65">
        <v>70283000</v>
      </c>
      <c r="C30" s="65">
        <v>66760000</v>
      </c>
      <c r="D30" s="65">
        <v>58579000</v>
      </c>
      <c r="E30" s="65">
        <v>49099000</v>
      </c>
      <c r="F30" s="65">
        <v>41293000</v>
      </c>
      <c r="M30" s="62"/>
    </row>
    <row r="31" spans="1:18" ht="15" customHeight="1" x14ac:dyDescent="0.15">
      <c r="A31" s="53" t="s">
        <v>98</v>
      </c>
      <c r="B31" s="65">
        <v>39440000</v>
      </c>
      <c r="C31" s="65">
        <v>36766000</v>
      </c>
      <c r="D31" s="65">
        <v>37378000</v>
      </c>
      <c r="E31" s="65">
        <v>41304000</v>
      </c>
      <c r="F31" s="65">
        <v>33783000</v>
      </c>
      <c r="H31" s="136" t="s">
        <v>246</v>
      </c>
      <c r="I31" s="136"/>
      <c r="J31" s="136"/>
      <c r="K31" s="136"/>
      <c r="L31" s="136"/>
      <c r="M31" s="136"/>
    </row>
    <row r="32" spans="1:18" x14ac:dyDescent="0.15">
      <c r="A32" s="53" t="s">
        <v>99</v>
      </c>
      <c r="B32" s="53" t="s">
        <v>11</v>
      </c>
      <c r="C32" s="53" t="s">
        <v>11</v>
      </c>
      <c r="D32" s="53" t="s">
        <v>11</v>
      </c>
      <c r="E32" s="53" t="s">
        <v>11</v>
      </c>
      <c r="F32" s="65">
        <v>5717000</v>
      </c>
    </row>
    <row r="33" spans="1:14" x14ac:dyDescent="0.15">
      <c r="A33" s="53" t="s">
        <v>100</v>
      </c>
      <c r="B33" s="53" t="s">
        <v>11</v>
      </c>
      <c r="C33" s="53" t="s">
        <v>11</v>
      </c>
      <c r="D33" s="53" t="s">
        <v>11</v>
      </c>
      <c r="E33" s="53" t="s">
        <v>11</v>
      </c>
      <c r="F33" s="65">
        <v>2298000</v>
      </c>
      <c r="I33" s="55">
        <v>2021</v>
      </c>
      <c r="J33" s="55">
        <v>2020</v>
      </c>
      <c r="K33" s="55">
        <v>2019</v>
      </c>
      <c r="L33" s="55">
        <v>2018</v>
      </c>
      <c r="M33" s="55">
        <v>2017</v>
      </c>
    </row>
    <row r="34" spans="1:14" x14ac:dyDescent="0.15">
      <c r="A34" s="53" t="s">
        <v>101</v>
      </c>
      <c r="B34" s="65">
        <v>48849000</v>
      </c>
      <c r="C34" s="65">
        <v>42522000</v>
      </c>
      <c r="D34" s="65">
        <v>32978000</v>
      </c>
      <c r="E34" s="65">
        <v>22283000</v>
      </c>
      <c r="F34" s="65">
        <v>10162000</v>
      </c>
      <c r="H34" s="78" t="s">
        <v>219</v>
      </c>
      <c r="I34" s="65">
        <f>B82</f>
        <v>108949000</v>
      </c>
      <c r="J34" s="65">
        <f>C82</f>
        <v>66288000</v>
      </c>
      <c r="K34" s="65">
        <f>D82</f>
        <v>63930000</v>
      </c>
      <c r="L34" s="65">
        <f>E82</f>
        <v>70898000</v>
      </c>
      <c r="M34" s="65">
        <f>F82</f>
        <v>61344000</v>
      </c>
    </row>
    <row r="35" spans="1:14" x14ac:dyDescent="0.15">
      <c r="A35" s="53" t="s">
        <v>102</v>
      </c>
      <c r="B35" s="65">
        <v>216166000</v>
      </c>
      <c r="C35" s="65">
        <v>180175000</v>
      </c>
      <c r="D35" s="65">
        <v>175697000</v>
      </c>
      <c r="E35" s="65">
        <v>234386000</v>
      </c>
      <c r="F35" s="53" t="s">
        <v>11</v>
      </c>
      <c r="H35" s="78" t="s">
        <v>218</v>
      </c>
      <c r="I35" s="62">
        <f>'Apple FS'!B68/'Apple FS'!B67</f>
        <v>0.13302260844085087</v>
      </c>
      <c r="J35" s="62">
        <f>'Apple FS'!C68/'Apple FS'!C67</f>
        <v>0.14428164731484103</v>
      </c>
      <c r="K35" s="62">
        <f>'Apple FS'!D68/'Apple FS'!D67</f>
        <v>0.15943836804235059</v>
      </c>
      <c r="L35" s="62">
        <f>'Apple FS'!E68/'Apple FS'!E67</f>
        <v>0.18342180705869443</v>
      </c>
      <c r="M35" s="62">
        <f>'Apple FS'!F68/'Apple FS'!F67</f>
        <v>0.24556476150353415</v>
      </c>
    </row>
    <row r="36" spans="1:14" ht="15" customHeight="1" x14ac:dyDescent="0.15">
      <c r="A36" s="68" t="s">
        <v>103</v>
      </c>
      <c r="B36" s="65">
        <v>351002000</v>
      </c>
      <c r="C36" s="65">
        <v>323888000</v>
      </c>
      <c r="D36" s="65">
        <v>338516000</v>
      </c>
      <c r="E36" s="65">
        <v>365725000</v>
      </c>
      <c r="F36" s="65">
        <v>375319000</v>
      </c>
      <c r="H36" s="84" t="s">
        <v>220</v>
      </c>
      <c r="I36" s="53">
        <f>I34* (1-I35)</f>
        <v>94456319.832977742</v>
      </c>
      <c r="J36" s="53">
        <f>J34* (1-J35)</f>
        <v>56723858.162793815</v>
      </c>
      <c r="K36" s="53">
        <f>K34* (1-K35)</f>
        <v>53737105.131052531</v>
      </c>
      <c r="L36" s="53">
        <f>L34* (1-L35)</f>
        <v>57893760.72315269</v>
      </c>
      <c r="M36" s="53">
        <f>M34* (1-M35)</f>
        <v>46280075.270327203</v>
      </c>
    </row>
    <row r="37" spans="1:14" x14ac:dyDescent="0.15">
      <c r="A37" s="53" t="s">
        <v>104</v>
      </c>
      <c r="B37" s="65">
        <v>54763000</v>
      </c>
      <c r="C37" s="65">
        <v>42296000</v>
      </c>
      <c r="D37" s="65">
        <v>46236000</v>
      </c>
      <c r="E37" s="65">
        <v>55888000</v>
      </c>
      <c r="F37" s="65">
        <v>49049000</v>
      </c>
      <c r="H37" s="84" t="s">
        <v>221</v>
      </c>
      <c r="I37" s="65">
        <f>B51+B64</f>
        <v>172196000</v>
      </c>
      <c r="J37" s="65">
        <f>C51+C64</f>
        <v>164006000</v>
      </c>
      <c r="K37" s="65">
        <f>D51+D64</f>
        <v>182295000</v>
      </c>
      <c r="L37" s="65">
        <f>E51+E64</f>
        <v>200882000</v>
      </c>
      <c r="M37" s="65">
        <f>F51+F64</f>
        <v>231254000</v>
      </c>
      <c r="N37" s="79"/>
    </row>
    <row r="38" spans="1:14" x14ac:dyDescent="0.15">
      <c r="A38" s="53" t="s">
        <v>105</v>
      </c>
      <c r="B38" s="53" t="s">
        <v>11</v>
      </c>
      <c r="C38" s="53" t="s">
        <v>11</v>
      </c>
      <c r="D38" s="53" t="s">
        <v>11</v>
      </c>
      <c r="E38" s="53" t="s">
        <v>11</v>
      </c>
      <c r="F38" s="65">
        <v>25744000</v>
      </c>
      <c r="H38" s="93" t="s">
        <v>216</v>
      </c>
      <c r="I38" s="92">
        <f>I36/I37</f>
        <v>0.54853957021636823</v>
      </c>
      <c r="J38" s="92">
        <f>J36/J37</f>
        <v>0.3458645303390962</v>
      </c>
      <c r="K38" s="92">
        <f>K36/K37</f>
        <v>0.294781015008928</v>
      </c>
      <c r="L38" s="92">
        <f>L36/L37</f>
        <v>0.28819785109244578</v>
      </c>
      <c r="M38" s="92">
        <f>M36/M37</f>
        <v>0.2001265935738504</v>
      </c>
      <c r="N38" s="89"/>
    </row>
    <row r="39" spans="1:14" x14ac:dyDescent="0.15">
      <c r="A39" s="53" t="s">
        <v>106</v>
      </c>
      <c r="B39" s="65">
        <v>7612000</v>
      </c>
      <c r="C39" s="65">
        <v>6643000</v>
      </c>
      <c r="D39" s="65">
        <v>5522000</v>
      </c>
      <c r="E39" s="65">
        <v>7543000</v>
      </c>
      <c r="F39" s="65">
        <v>7548000</v>
      </c>
      <c r="H39" s="75"/>
      <c r="I39" s="65"/>
      <c r="J39" s="65"/>
      <c r="K39" s="65"/>
      <c r="L39" s="65"/>
      <c r="M39" s="65"/>
      <c r="N39" s="111"/>
    </row>
    <row r="40" spans="1:14" ht="18" customHeight="1" x14ac:dyDescent="0.15">
      <c r="A40" s="53" t="s">
        <v>107</v>
      </c>
      <c r="B40" s="65">
        <v>47493000</v>
      </c>
      <c r="C40" s="65">
        <v>42684000</v>
      </c>
      <c r="D40" s="65">
        <v>37720000</v>
      </c>
      <c r="E40" s="65">
        <v>32687000</v>
      </c>
      <c r="F40" s="53" t="s">
        <v>11</v>
      </c>
      <c r="H40" s="70" t="s">
        <v>65</v>
      </c>
      <c r="I40" s="65">
        <f>B98</f>
        <v>94680000</v>
      </c>
      <c r="J40" s="65">
        <f t="shared" ref="J40:M40" si="1">C98</f>
        <v>57411000</v>
      </c>
      <c r="K40" s="65">
        <f t="shared" si="1"/>
        <v>55256000</v>
      </c>
      <c r="L40" s="65">
        <f t="shared" si="1"/>
        <v>59531000</v>
      </c>
      <c r="M40" s="65">
        <f t="shared" si="1"/>
        <v>48351000</v>
      </c>
      <c r="N40" s="111"/>
    </row>
    <row r="41" spans="1:14" x14ac:dyDescent="0.15">
      <c r="A41" s="53" t="s">
        <v>108</v>
      </c>
      <c r="B41" s="65">
        <v>6000000</v>
      </c>
      <c r="C41" s="65">
        <v>4996000</v>
      </c>
      <c r="D41" s="65">
        <v>5980000</v>
      </c>
      <c r="E41" s="65">
        <v>11964000</v>
      </c>
      <c r="F41" s="65">
        <v>11977000</v>
      </c>
      <c r="H41" s="70" t="s">
        <v>66</v>
      </c>
      <c r="I41" s="65">
        <f>-B155</f>
        <v>14467000</v>
      </c>
      <c r="J41" s="65">
        <f t="shared" ref="J41:M41" si="2">-C155</f>
        <v>14081000</v>
      </c>
      <c r="K41" s="65">
        <f t="shared" si="2"/>
        <v>14119000</v>
      </c>
      <c r="L41" s="65">
        <f t="shared" si="2"/>
        <v>13712000</v>
      </c>
      <c r="M41" s="65">
        <f t="shared" si="2"/>
        <v>12769000</v>
      </c>
    </row>
    <row r="42" spans="1:14" x14ac:dyDescent="0.15">
      <c r="A42" s="68" t="s">
        <v>109</v>
      </c>
      <c r="B42" s="65">
        <v>9613000</v>
      </c>
      <c r="C42" s="65">
        <v>8773000</v>
      </c>
      <c r="D42" s="65">
        <v>10260000</v>
      </c>
      <c r="E42" s="53" t="s">
        <v>11</v>
      </c>
      <c r="F42" s="53" t="s">
        <v>11</v>
      </c>
      <c r="H42" s="93" t="s">
        <v>73</v>
      </c>
      <c r="I42" s="92">
        <f>I41/I40</f>
        <v>0.15279890156316012</v>
      </c>
      <c r="J42" s="92">
        <f t="shared" ref="J42:M42" si="3">J41/J40</f>
        <v>0.24526658654264863</v>
      </c>
      <c r="K42" s="92">
        <f t="shared" si="3"/>
        <v>0.25551976255972203</v>
      </c>
      <c r="L42" s="92">
        <f t="shared" si="3"/>
        <v>0.23033377567989788</v>
      </c>
      <c r="M42" s="92">
        <f t="shared" si="3"/>
        <v>0.264089677566131</v>
      </c>
    </row>
    <row r="43" spans="1:14" x14ac:dyDescent="0.15">
      <c r="A43" s="53" t="s">
        <v>110</v>
      </c>
      <c r="B43" s="53" t="s">
        <v>11</v>
      </c>
      <c r="C43" s="53" t="s">
        <v>11</v>
      </c>
      <c r="D43" s="53" t="s">
        <v>11</v>
      </c>
      <c r="E43" s="65">
        <v>8784000</v>
      </c>
      <c r="F43" s="65">
        <v>6496000</v>
      </c>
      <c r="H43" s="93" t="s">
        <v>417</v>
      </c>
      <c r="I43" s="92">
        <f>I38* (1-I42)</f>
        <v>0.46472332642337921</v>
      </c>
      <c r="J43" s="92">
        <f>J38* (1-J42)</f>
        <v>0.26103551757664972</v>
      </c>
      <c r="K43" s="92">
        <f>K38* (1-K42)</f>
        <v>0.21945864004673285</v>
      </c>
      <c r="L43" s="92">
        <f>L38* (1-L42)</f>
        <v>0.22181615190748977</v>
      </c>
      <c r="M43" s="92">
        <f>M38* (1-M42)</f>
        <v>0.14727522600452411</v>
      </c>
    </row>
    <row r="44" spans="1:14" x14ac:dyDescent="0.15">
      <c r="A44" s="68" t="s">
        <v>111</v>
      </c>
      <c r="B44" s="65">
        <v>125481000</v>
      </c>
      <c r="C44" s="65">
        <v>105392000</v>
      </c>
      <c r="D44" s="65">
        <v>105718000</v>
      </c>
      <c r="E44" s="65">
        <v>116866000</v>
      </c>
      <c r="F44" s="65">
        <v>100814000</v>
      </c>
    </row>
    <row r="45" spans="1:14" x14ac:dyDescent="0.15">
      <c r="A45" s="53" t="s">
        <v>106</v>
      </c>
      <c r="B45" s="53" t="s">
        <v>11</v>
      </c>
      <c r="C45" s="53" t="s">
        <v>11</v>
      </c>
      <c r="D45" s="53" t="s">
        <v>11</v>
      </c>
      <c r="E45" s="65">
        <v>2797000</v>
      </c>
      <c r="F45" s="65">
        <v>2836000</v>
      </c>
      <c r="H45" s="133" t="s">
        <v>245</v>
      </c>
      <c r="I45" s="133"/>
      <c r="J45" s="133"/>
      <c r="K45" s="133"/>
      <c r="L45" s="133"/>
      <c r="M45" s="133"/>
    </row>
    <row r="46" spans="1:14" x14ac:dyDescent="0.15">
      <c r="A46" s="53" t="s">
        <v>112</v>
      </c>
      <c r="B46" s="65">
        <v>118063000</v>
      </c>
      <c r="C46" s="65">
        <v>106078000</v>
      </c>
      <c r="D46" s="65">
        <v>101679000</v>
      </c>
      <c r="E46" s="65">
        <v>104193000</v>
      </c>
      <c r="F46" s="65">
        <v>104021000</v>
      </c>
    </row>
    <row r="47" spans="1:14" x14ac:dyDescent="0.15">
      <c r="A47" s="68" t="s">
        <v>113</v>
      </c>
      <c r="B47" s="65">
        <v>118063000</v>
      </c>
      <c r="C47" s="65">
        <v>106078000</v>
      </c>
      <c r="D47" s="65">
        <v>101679000</v>
      </c>
      <c r="E47" s="65">
        <v>104193000</v>
      </c>
      <c r="F47" s="65">
        <v>104021000</v>
      </c>
      <c r="H47" s="136" t="s">
        <v>233</v>
      </c>
      <c r="I47" s="136"/>
      <c r="J47" s="136"/>
      <c r="K47" s="136"/>
      <c r="L47" s="136"/>
      <c r="M47" s="136"/>
    </row>
    <row r="48" spans="1:14" x14ac:dyDescent="0.15">
      <c r="A48" s="53" t="s">
        <v>114</v>
      </c>
      <c r="B48" s="65">
        <v>-380000</v>
      </c>
      <c r="C48" s="65">
        <v>-314000</v>
      </c>
      <c r="D48" s="65">
        <v>-224000</v>
      </c>
      <c r="E48" s="65">
        <v>-218000</v>
      </c>
      <c r="F48" s="65">
        <v>-225000</v>
      </c>
    </row>
    <row r="49" spans="1:24" x14ac:dyDescent="0.15">
      <c r="A49" s="53" t="s">
        <v>115</v>
      </c>
      <c r="B49" s="65">
        <v>1036000</v>
      </c>
      <c r="C49" s="65">
        <v>1676000</v>
      </c>
      <c r="D49" s="65">
        <v>612000</v>
      </c>
      <c r="E49" s="65">
        <v>-1456000</v>
      </c>
      <c r="F49" s="65">
        <v>-93000</v>
      </c>
      <c r="H49" s="70" t="s">
        <v>58</v>
      </c>
      <c r="I49" s="71">
        <v>0.05</v>
      </c>
    </row>
    <row r="50" spans="1:24" x14ac:dyDescent="0.15">
      <c r="A50" s="68" t="s">
        <v>116</v>
      </c>
      <c r="B50" s="65">
        <v>9613000</v>
      </c>
      <c r="C50" s="65">
        <v>8773000</v>
      </c>
      <c r="D50" s="65">
        <v>10260000</v>
      </c>
      <c r="E50" s="65">
        <v>8784000</v>
      </c>
      <c r="F50" s="65">
        <v>6496000</v>
      </c>
      <c r="H50" s="70" t="s">
        <v>59</v>
      </c>
      <c r="I50" s="65">
        <f>B74</f>
        <v>365817000</v>
      </c>
      <c r="K50" s="140" t="s">
        <v>68</v>
      </c>
      <c r="L50" s="140"/>
      <c r="M50" s="77">
        <f>I54/ I50*I52</f>
        <v>17550100</v>
      </c>
      <c r="N50" s="63"/>
    </row>
    <row r="51" spans="1:24" x14ac:dyDescent="0.15">
      <c r="A51" s="53" t="s">
        <v>109</v>
      </c>
      <c r="B51" s="65">
        <v>109106000</v>
      </c>
      <c r="C51" s="65">
        <v>98667000</v>
      </c>
      <c r="D51" s="65">
        <v>91807000</v>
      </c>
      <c r="E51" s="65">
        <v>93735000</v>
      </c>
      <c r="F51" s="65">
        <v>97207000</v>
      </c>
      <c r="H51" s="70" t="s">
        <v>60</v>
      </c>
      <c r="I51" s="53">
        <f>(I49*I50)+I50</f>
        <v>384107850</v>
      </c>
      <c r="K51" s="140" t="s">
        <v>69</v>
      </c>
      <c r="L51" s="140"/>
      <c r="M51" s="77">
        <f>I58/I50*I52</f>
        <v>5793400</v>
      </c>
    </row>
    <row r="52" spans="1:24" x14ac:dyDescent="0.15">
      <c r="A52" s="53" t="s">
        <v>117</v>
      </c>
      <c r="B52" s="65">
        <v>24689000</v>
      </c>
      <c r="C52" s="65">
        <v>28170000</v>
      </c>
      <c r="D52" s="65">
        <v>29545000</v>
      </c>
      <c r="E52" s="65">
        <v>33589000</v>
      </c>
      <c r="F52" s="53" t="s">
        <v>11</v>
      </c>
      <c r="H52" s="84" t="s">
        <v>61</v>
      </c>
      <c r="I52" s="73">
        <f>I51-I50</f>
        <v>18290850</v>
      </c>
      <c r="K52" s="140" t="s">
        <v>70</v>
      </c>
      <c r="L52" s="140"/>
      <c r="M52" s="77">
        <f>I64-I66</f>
        <v>84223649.999999985</v>
      </c>
    </row>
    <row r="53" spans="1:24" x14ac:dyDescent="0.15">
      <c r="A53" s="53" t="s">
        <v>118</v>
      </c>
      <c r="B53" s="53" t="s">
        <v>11</v>
      </c>
      <c r="C53" s="53" t="s">
        <v>11</v>
      </c>
      <c r="D53" s="53" t="s">
        <v>11</v>
      </c>
      <c r="E53" s="65">
        <v>426000</v>
      </c>
      <c r="F53" s="65">
        <v>31504000</v>
      </c>
      <c r="H53" s="70" t="s">
        <v>12</v>
      </c>
      <c r="I53" s="65">
        <f>B24</f>
        <v>134836000</v>
      </c>
    </row>
    <row r="54" spans="1:24" x14ac:dyDescent="0.15">
      <c r="A54" s="53" t="s">
        <v>119</v>
      </c>
      <c r="B54" s="65">
        <v>28636000</v>
      </c>
      <c r="C54" s="65">
        <v>26320000</v>
      </c>
      <c r="D54" s="65">
        <v>20958000</v>
      </c>
      <c r="E54" s="65">
        <v>11165000</v>
      </c>
      <c r="F54" s="65">
        <v>8911000</v>
      </c>
      <c r="H54" s="70" t="s">
        <v>62</v>
      </c>
      <c r="I54" s="65">
        <f>B36</f>
        <v>351002000</v>
      </c>
      <c r="K54" s="142" t="s">
        <v>213</v>
      </c>
      <c r="L54" s="142"/>
      <c r="M54" s="91">
        <f>M50-M51-M52</f>
        <v>-72466949.999999985</v>
      </c>
    </row>
    <row r="55" spans="1:24" ht="13" customHeight="1" x14ac:dyDescent="0.15">
      <c r="A55" s="53" t="s">
        <v>119</v>
      </c>
      <c r="B55" s="65">
        <v>53325000</v>
      </c>
      <c r="C55" s="65">
        <v>54490000</v>
      </c>
      <c r="D55" s="65">
        <v>50503000</v>
      </c>
      <c r="E55" s="65">
        <v>45180000</v>
      </c>
      <c r="F55" s="65">
        <v>40415000</v>
      </c>
      <c r="H55" s="70" t="s">
        <v>13</v>
      </c>
      <c r="I55" s="65">
        <f>B44</f>
        <v>125481000</v>
      </c>
      <c r="K55" s="70"/>
      <c r="L55" s="70"/>
    </row>
    <row r="56" spans="1:24" x14ac:dyDescent="0.15">
      <c r="A56" s="53" t="s">
        <v>120</v>
      </c>
      <c r="B56" s="65">
        <v>162431000</v>
      </c>
      <c r="C56" s="65">
        <v>153157000</v>
      </c>
      <c r="D56" s="65">
        <v>142310000</v>
      </c>
      <c r="E56" s="65">
        <v>141712000</v>
      </c>
      <c r="F56" s="53" t="s">
        <v>11</v>
      </c>
      <c r="H56" s="70" t="s">
        <v>63</v>
      </c>
      <c r="I56" s="65">
        <f>B57</f>
        <v>287912000</v>
      </c>
      <c r="K56" s="70"/>
      <c r="L56" s="70"/>
    </row>
    <row r="57" spans="1:24" x14ac:dyDescent="0.15">
      <c r="A57" s="68" t="s">
        <v>121</v>
      </c>
      <c r="B57" s="65">
        <v>287912000</v>
      </c>
      <c r="C57" s="65">
        <v>258549000</v>
      </c>
      <c r="D57" s="65">
        <v>248028000</v>
      </c>
      <c r="E57" s="65">
        <v>258578000</v>
      </c>
      <c r="F57" s="65">
        <v>241272000</v>
      </c>
      <c r="H57" s="70" t="s">
        <v>242</v>
      </c>
      <c r="I57" s="65">
        <f>B50</f>
        <v>9613000</v>
      </c>
      <c r="K57" s="70"/>
      <c r="L57" s="70"/>
    </row>
    <row r="58" spans="1:24" ht="32" customHeight="1" x14ac:dyDescent="0.15">
      <c r="A58" s="53" t="s">
        <v>122</v>
      </c>
      <c r="B58" s="65">
        <v>57365000</v>
      </c>
      <c r="C58" s="65">
        <v>50779000</v>
      </c>
      <c r="D58" s="65">
        <v>45174000</v>
      </c>
      <c r="E58" s="65">
        <v>40201000</v>
      </c>
      <c r="F58" s="65">
        <v>35867000</v>
      </c>
      <c r="H58" s="84" t="s">
        <v>64</v>
      </c>
      <c r="I58" s="73">
        <f>I55-I57</f>
        <v>115868000</v>
      </c>
      <c r="K58" s="138" t="s">
        <v>75</v>
      </c>
      <c r="L58" s="138"/>
      <c r="M58" s="92">
        <f>M52/I64</f>
        <v>0.84720109843683988</v>
      </c>
    </row>
    <row r="59" spans="1:24" x14ac:dyDescent="0.15">
      <c r="A59" s="53" t="s">
        <v>123</v>
      </c>
      <c r="B59" s="65">
        <v>5562000</v>
      </c>
      <c r="C59" s="65">
        <v>14966000</v>
      </c>
      <c r="D59" s="65">
        <v>45898000</v>
      </c>
      <c r="E59" s="65">
        <v>70400000</v>
      </c>
      <c r="F59" s="65">
        <v>98330000</v>
      </c>
      <c r="H59" s="70" t="s">
        <v>65</v>
      </c>
      <c r="I59" s="65">
        <f>B98</f>
        <v>94680000</v>
      </c>
      <c r="K59" s="83"/>
      <c r="L59" s="83"/>
    </row>
    <row r="60" spans="1:24" x14ac:dyDescent="0.15">
      <c r="A60" s="53" t="s">
        <v>124</v>
      </c>
      <c r="B60" s="53" t="s">
        <v>11</v>
      </c>
      <c r="C60" s="65">
        <v>-1375000</v>
      </c>
      <c r="D60" s="65">
        <v>-1463000</v>
      </c>
      <c r="E60" s="65">
        <v>-1055000</v>
      </c>
      <c r="F60" s="65">
        <v>-354000</v>
      </c>
      <c r="H60" s="70" t="s">
        <v>66</v>
      </c>
      <c r="I60" s="65">
        <f>-B155</f>
        <v>14467000</v>
      </c>
      <c r="K60" s="83"/>
      <c r="L60" s="83"/>
      <c r="U60" s="65"/>
      <c r="V60" s="65"/>
      <c r="W60" s="65"/>
      <c r="X60" s="65"/>
    </row>
    <row r="61" spans="1:24" ht="15" customHeight="1" x14ac:dyDescent="0.15">
      <c r="A61" s="53" t="s">
        <v>125</v>
      </c>
      <c r="B61" s="53" t="s">
        <v>11</v>
      </c>
      <c r="C61" s="65">
        <v>-877000</v>
      </c>
      <c r="D61" s="65">
        <v>172000</v>
      </c>
      <c r="E61" s="65">
        <v>810000</v>
      </c>
      <c r="F61" s="65">
        <v>-124000</v>
      </c>
      <c r="H61" s="70" t="s">
        <v>67</v>
      </c>
      <c r="I61" s="62">
        <f>I60/I59</f>
        <v>0.15279890156316012</v>
      </c>
    </row>
    <row r="62" spans="1:24" x14ac:dyDescent="0.2">
      <c r="A62" s="53" t="s">
        <v>126</v>
      </c>
      <c r="B62" s="53" t="s">
        <v>11</v>
      </c>
      <c r="C62" s="65">
        <v>1846000</v>
      </c>
      <c r="D62" s="65">
        <v>707000</v>
      </c>
      <c r="E62" s="65">
        <v>-3209000</v>
      </c>
      <c r="F62" s="65">
        <v>328000</v>
      </c>
      <c r="H62" s="74"/>
      <c r="L62" s="63"/>
    </row>
    <row r="63" spans="1:24" x14ac:dyDescent="0.15">
      <c r="A63" s="53" t="s">
        <v>127</v>
      </c>
      <c r="B63" s="65">
        <v>163000</v>
      </c>
      <c r="C63" s="65">
        <v>-406000</v>
      </c>
      <c r="D63" s="65">
        <v>-584000</v>
      </c>
      <c r="E63" s="65">
        <v>-3454000</v>
      </c>
      <c r="F63" s="65">
        <v>-150000</v>
      </c>
      <c r="H63" s="70" t="s">
        <v>71</v>
      </c>
      <c r="I63" s="62">
        <f>I59/I50</f>
        <v>0.25881793355694238</v>
      </c>
      <c r="N63" s="139"/>
      <c r="O63" s="139"/>
    </row>
    <row r="64" spans="1:24" x14ac:dyDescent="0.15">
      <c r="A64" s="68" t="s">
        <v>128</v>
      </c>
      <c r="B64" s="65">
        <v>63090000</v>
      </c>
      <c r="C64" s="65">
        <v>65339000</v>
      </c>
      <c r="D64" s="65">
        <v>90488000</v>
      </c>
      <c r="E64" s="65">
        <v>107147000</v>
      </c>
      <c r="F64" s="65">
        <v>134047000</v>
      </c>
      <c r="H64" s="70" t="s">
        <v>72</v>
      </c>
      <c r="I64" s="53">
        <f>I63*I51</f>
        <v>99413999.999999985</v>
      </c>
    </row>
    <row r="65" spans="1:14" x14ac:dyDescent="0.15">
      <c r="H65" s="70" t="s">
        <v>73</v>
      </c>
      <c r="I65" s="62">
        <f>I60/I59</f>
        <v>0.15279890156316012</v>
      </c>
    </row>
    <row r="66" spans="1:14" ht="16" x14ac:dyDescent="0.15">
      <c r="A66" s="60" t="s">
        <v>129</v>
      </c>
      <c r="H66" s="70" t="s">
        <v>74</v>
      </c>
      <c r="I66" s="53">
        <f>I64*I65</f>
        <v>15190349.999999998</v>
      </c>
    </row>
    <row r="67" spans="1:14" ht="16" x14ac:dyDescent="0.15">
      <c r="A67" s="56" t="s">
        <v>1</v>
      </c>
      <c r="B67" s="60" t="s">
        <v>80</v>
      </c>
      <c r="C67" s="60" t="s">
        <v>81</v>
      </c>
      <c r="D67" s="60" t="s">
        <v>82</v>
      </c>
      <c r="E67" s="60" t="s">
        <v>83</v>
      </c>
      <c r="F67" s="60" t="s">
        <v>84</v>
      </c>
      <c r="G67" s="56"/>
      <c r="H67" s="84" t="s">
        <v>14</v>
      </c>
      <c r="I67" s="77">
        <f>I64-I66</f>
        <v>84223649.999999985</v>
      </c>
    </row>
    <row r="68" spans="1:14" ht="14" customHeight="1" x14ac:dyDescent="0.15">
      <c r="A68" s="56" t="s">
        <v>2</v>
      </c>
      <c r="B68" s="60" t="s">
        <v>3</v>
      </c>
      <c r="C68" s="60" t="s">
        <v>3</v>
      </c>
      <c r="D68" s="60" t="s">
        <v>3</v>
      </c>
      <c r="E68" s="60" t="s">
        <v>3</v>
      </c>
      <c r="F68" s="60" t="s">
        <v>3</v>
      </c>
      <c r="G68" s="56"/>
      <c r="M68" s="62"/>
    </row>
    <row r="69" spans="1:14" ht="16" x14ac:dyDescent="0.15">
      <c r="A69" s="56" t="s">
        <v>4</v>
      </c>
      <c r="B69" s="60" t="s">
        <v>5</v>
      </c>
      <c r="C69" s="60" t="s">
        <v>5</v>
      </c>
      <c r="D69" s="60" t="s">
        <v>5</v>
      </c>
      <c r="E69" s="60" t="s">
        <v>5</v>
      </c>
      <c r="F69" s="60" t="s">
        <v>5</v>
      </c>
      <c r="G69" s="56"/>
      <c r="I69" s="55">
        <v>2021</v>
      </c>
      <c r="J69" s="55">
        <v>2020</v>
      </c>
      <c r="K69" s="55">
        <v>2019</v>
      </c>
      <c r="L69" s="55">
        <v>2018</v>
      </c>
      <c r="M69" s="55">
        <v>2017</v>
      </c>
    </row>
    <row r="70" spans="1:14" ht="16" x14ac:dyDescent="0.15">
      <c r="A70" s="56" t="s">
        <v>6</v>
      </c>
      <c r="B70" s="60" t="s">
        <v>7</v>
      </c>
      <c r="C70" s="60" t="s">
        <v>7</v>
      </c>
      <c r="D70" s="60" t="s">
        <v>7</v>
      </c>
      <c r="E70" s="60" t="s">
        <v>7</v>
      </c>
      <c r="F70" s="60" t="s">
        <v>7</v>
      </c>
      <c r="G70" s="56"/>
      <c r="H70" s="70" t="s">
        <v>416</v>
      </c>
      <c r="I70" s="69">
        <f>I42</f>
        <v>0.15279890156316012</v>
      </c>
      <c r="J70" s="69">
        <f>J42</f>
        <v>0.24526658654264863</v>
      </c>
      <c r="K70" s="69">
        <f>K42</f>
        <v>0.25551976255972203</v>
      </c>
      <c r="L70" s="69">
        <f t="shared" ref="L70:M70" si="4">L42</f>
        <v>0.23033377567989788</v>
      </c>
      <c r="M70" s="69">
        <f t="shared" si="4"/>
        <v>0.264089677566131</v>
      </c>
    </row>
    <row r="71" spans="1:14" ht="16" x14ac:dyDescent="0.15">
      <c r="A71" s="56" t="s">
        <v>8</v>
      </c>
      <c r="B71" s="60" t="s">
        <v>9</v>
      </c>
      <c r="C71" s="60" t="s">
        <v>9</v>
      </c>
      <c r="D71" s="60" t="s">
        <v>9</v>
      </c>
      <c r="E71" s="60" t="s">
        <v>9</v>
      </c>
      <c r="F71" s="60" t="s">
        <v>9</v>
      </c>
      <c r="G71" s="56"/>
      <c r="H71" s="70" t="s">
        <v>415</v>
      </c>
      <c r="I71" s="69">
        <f>1-I70</f>
        <v>0.84720109843683988</v>
      </c>
      <c r="J71" s="69">
        <f>1-J70</f>
        <v>0.75473341345735134</v>
      </c>
      <c r="K71" s="69">
        <f>1-K70</f>
        <v>0.74448023744027791</v>
      </c>
      <c r="L71" s="69">
        <f>1-L70</f>
        <v>0.76966622432010212</v>
      </c>
      <c r="M71" s="69">
        <f t="shared" ref="M71" si="5">1-M70</f>
        <v>0.735910322433869</v>
      </c>
    </row>
    <row r="72" spans="1:14" ht="15" customHeight="1" x14ac:dyDescent="0.15">
      <c r="A72" s="53" t="s">
        <v>130</v>
      </c>
      <c r="B72" s="65">
        <v>297392000</v>
      </c>
      <c r="C72" s="65">
        <v>220747000</v>
      </c>
      <c r="D72" s="65">
        <v>213883000</v>
      </c>
      <c r="E72" s="53" t="s">
        <v>11</v>
      </c>
      <c r="F72" s="53" t="s">
        <v>11</v>
      </c>
      <c r="H72" s="70" t="s">
        <v>433</v>
      </c>
      <c r="I72" s="69">
        <f>I16</f>
        <v>1.5007132667617689</v>
      </c>
      <c r="J72" s="69">
        <f>J16</f>
        <v>0.87866358530127486</v>
      </c>
      <c r="K72" s="69">
        <f>K16</f>
        <v>0.61064450534877557</v>
      </c>
      <c r="L72" s="69">
        <f>L16</f>
        <v>0.5556011834209077</v>
      </c>
      <c r="M72" s="69">
        <f>M16</f>
        <v>0.36070184338329092</v>
      </c>
    </row>
    <row r="73" spans="1:14" ht="32" x14ac:dyDescent="0.15">
      <c r="A73" s="53" t="s">
        <v>131</v>
      </c>
      <c r="B73" s="65">
        <v>68425000</v>
      </c>
      <c r="C73" s="65">
        <v>53768000</v>
      </c>
      <c r="D73" s="65">
        <v>46291000</v>
      </c>
      <c r="E73" s="53" t="s">
        <v>11</v>
      </c>
      <c r="F73" s="53" t="s">
        <v>11</v>
      </c>
      <c r="H73" s="129" t="s">
        <v>434</v>
      </c>
      <c r="I73" s="62">
        <f>B98/C64</f>
        <v>1.4490579898682256</v>
      </c>
      <c r="J73" s="62">
        <f t="shared" ref="J73:L73" si="6">C98/D64</f>
        <v>0.63445981787640349</v>
      </c>
      <c r="K73" s="62">
        <f t="shared" si="6"/>
        <v>0.51570272616125512</v>
      </c>
      <c r="L73" s="62">
        <f t="shared" si="6"/>
        <v>0.44410542570889316</v>
      </c>
      <c r="M73" s="62"/>
    </row>
    <row r="74" spans="1:14" x14ac:dyDescent="0.15">
      <c r="A74" s="68" t="s">
        <v>132</v>
      </c>
      <c r="B74" s="65">
        <v>365817000</v>
      </c>
      <c r="C74" s="65">
        <v>274515000</v>
      </c>
      <c r="D74" s="65">
        <v>260174000</v>
      </c>
      <c r="E74" s="65">
        <v>265595000</v>
      </c>
      <c r="F74" s="65">
        <v>229234000</v>
      </c>
    </row>
    <row r="75" spans="1:14" ht="16" customHeight="1" x14ac:dyDescent="0.15">
      <c r="A75" s="53" t="s">
        <v>133</v>
      </c>
      <c r="B75" s="65">
        <v>192266000</v>
      </c>
      <c r="C75" s="65">
        <v>151286000</v>
      </c>
      <c r="D75" s="65">
        <v>144996000</v>
      </c>
      <c r="E75" s="53" t="s">
        <v>11</v>
      </c>
      <c r="F75" s="53" t="s">
        <v>11</v>
      </c>
      <c r="H75" s="93" t="s">
        <v>430</v>
      </c>
      <c r="I75" s="92">
        <f>I71*I72</f>
        <v>1.2714059280393089</v>
      </c>
      <c r="J75" s="92">
        <f>J71*J72</f>
        <v>0.66315676701510573</v>
      </c>
      <c r="K75" s="92">
        <f>K71*K72</f>
        <v>0.45461276633365749</v>
      </c>
      <c r="L75" s="92">
        <f>L71*L72</f>
        <v>0.42762746507135052</v>
      </c>
      <c r="M75" s="92">
        <f>M71*M72</f>
        <v>0.26544420986668854</v>
      </c>
    </row>
    <row r="76" spans="1:14" x14ac:dyDescent="0.15">
      <c r="A76" s="53" t="s">
        <v>134</v>
      </c>
      <c r="B76" s="65">
        <v>20715000</v>
      </c>
      <c r="C76" s="65">
        <v>18273000</v>
      </c>
      <c r="D76" s="65">
        <v>16786000</v>
      </c>
      <c r="E76" s="53" t="s">
        <v>11</v>
      </c>
      <c r="F76" s="53" t="s">
        <v>11</v>
      </c>
      <c r="H76" s="120" t="s">
        <v>431</v>
      </c>
      <c r="I76" s="92">
        <f>I73*I71</f>
        <v>1.22764352071504</v>
      </c>
      <c r="J76" s="92">
        <f>J73*J71</f>
        <v>0.47884802404738747</v>
      </c>
      <c r="K76" s="92">
        <f>K73*K71</f>
        <v>0.38393048802112983</v>
      </c>
      <c r="L76" s="92">
        <f>L73*L71</f>
        <v>0.3418129462054354</v>
      </c>
      <c r="M76" s="62"/>
    </row>
    <row r="77" spans="1:14" x14ac:dyDescent="0.15">
      <c r="A77" s="53" t="s">
        <v>135</v>
      </c>
      <c r="B77" s="65">
        <v>212981000</v>
      </c>
      <c r="C77" s="65">
        <v>169559000</v>
      </c>
      <c r="D77" s="65">
        <v>161782000</v>
      </c>
      <c r="E77" s="65">
        <v>163756000</v>
      </c>
      <c r="F77" s="65">
        <v>141048000</v>
      </c>
      <c r="N77" s="130" t="s">
        <v>18</v>
      </c>
    </row>
    <row r="78" spans="1:14" ht="12" customHeight="1" x14ac:dyDescent="0.15">
      <c r="A78" s="53" t="s">
        <v>136</v>
      </c>
      <c r="B78" s="65">
        <v>152836000</v>
      </c>
      <c r="C78" s="65">
        <v>104956000</v>
      </c>
      <c r="D78" s="65">
        <v>98392000</v>
      </c>
      <c r="E78" s="65">
        <v>101839000</v>
      </c>
      <c r="F78" s="65">
        <v>88186000</v>
      </c>
      <c r="H78" s="93" t="s">
        <v>418</v>
      </c>
      <c r="I78" s="62">
        <f>(B74-C74)/C74</f>
        <v>0.33259384733074693</v>
      </c>
      <c r="J78" s="62">
        <f>(C74-D74)/D74</f>
        <v>5.5120803769784836E-2</v>
      </c>
      <c r="K78" s="62">
        <f>(D74-E74)/E74</f>
        <v>-2.0410775805267418E-2</v>
      </c>
      <c r="L78" s="62">
        <f>(E74-F74)/F74</f>
        <v>0.15861957650261305</v>
      </c>
      <c r="N78" s="69">
        <f>AVERAGE(I78:L78)</f>
        <v>0.13148086294946937</v>
      </c>
    </row>
    <row r="79" spans="1:14" ht="12" customHeight="1" x14ac:dyDescent="0.15">
      <c r="A79" s="53" t="s">
        <v>137</v>
      </c>
      <c r="B79" s="65">
        <v>21914000</v>
      </c>
      <c r="C79" s="65">
        <v>18752000</v>
      </c>
      <c r="D79" s="65">
        <v>16217000</v>
      </c>
      <c r="E79" s="65">
        <v>14236000</v>
      </c>
      <c r="F79" s="65">
        <v>11581000</v>
      </c>
    </row>
    <row r="80" spans="1:14" x14ac:dyDescent="0.15">
      <c r="A80" s="53" t="s">
        <v>138</v>
      </c>
      <c r="B80" s="65">
        <v>21973000</v>
      </c>
      <c r="C80" s="65">
        <v>19916000</v>
      </c>
      <c r="D80" s="65">
        <v>18245000</v>
      </c>
      <c r="E80" s="65">
        <v>16705000</v>
      </c>
      <c r="F80" s="65">
        <v>15261000</v>
      </c>
      <c r="H80" s="133" t="s">
        <v>247</v>
      </c>
      <c r="I80" s="133"/>
      <c r="J80" s="133"/>
      <c r="K80" s="133"/>
      <c r="L80" s="133"/>
      <c r="M80" s="133"/>
    </row>
    <row r="81" spans="1:14" x14ac:dyDescent="0.15">
      <c r="A81" s="53" t="s">
        <v>139</v>
      </c>
      <c r="B81" s="65">
        <v>43887000</v>
      </c>
      <c r="C81" s="65">
        <v>38668000</v>
      </c>
      <c r="D81" s="65">
        <v>34462000</v>
      </c>
      <c r="E81" s="65">
        <v>30941000</v>
      </c>
      <c r="F81" s="65">
        <v>26842000</v>
      </c>
    </row>
    <row r="82" spans="1:14" ht="17" customHeight="1" x14ac:dyDescent="0.15">
      <c r="A82" s="68" t="s">
        <v>140</v>
      </c>
      <c r="B82" s="65">
        <v>108949000</v>
      </c>
      <c r="C82" s="65">
        <v>66288000</v>
      </c>
      <c r="D82" s="65">
        <v>63930000</v>
      </c>
      <c r="E82" s="65">
        <v>70898000</v>
      </c>
      <c r="F82" s="65">
        <v>61344000</v>
      </c>
      <c r="H82" s="136" t="s">
        <v>235</v>
      </c>
      <c r="I82" s="136"/>
      <c r="J82" s="136"/>
      <c r="K82" s="136"/>
      <c r="L82" s="136"/>
      <c r="M82" s="136"/>
    </row>
    <row r="83" spans="1:14" x14ac:dyDescent="0.15">
      <c r="A83" s="53" t="s">
        <v>141</v>
      </c>
      <c r="B83" s="65">
        <v>2843000</v>
      </c>
      <c r="C83" s="65">
        <v>3763000</v>
      </c>
      <c r="D83" s="65">
        <v>4961000</v>
      </c>
      <c r="E83" s="65">
        <v>5686000</v>
      </c>
      <c r="F83" s="65">
        <v>5201000</v>
      </c>
    </row>
    <row r="84" spans="1:14" x14ac:dyDescent="0.15">
      <c r="A84" s="68" t="s">
        <v>142</v>
      </c>
      <c r="B84" s="65">
        <v>2645000</v>
      </c>
      <c r="C84" s="65">
        <v>2873000</v>
      </c>
      <c r="D84" s="65">
        <v>3576000</v>
      </c>
      <c r="E84" s="65">
        <v>3240000</v>
      </c>
      <c r="F84" s="65">
        <v>2323000</v>
      </c>
      <c r="H84" s="135" t="s">
        <v>411</v>
      </c>
      <c r="I84" s="135"/>
      <c r="J84" s="135"/>
      <c r="K84" s="114"/>
      <c r="L84" s="114"/>
    </row>
    <row r="85" spans="1:14" x14ac:dyDescent="0.15">
      <c r="A85" s="53" t="s">
        <v>143</v>
      </c>
      <c r="B85" s="65">
        <v>60000</v>
      </c>
      <c r="C85" s="65">
        <v>-87000</v>
      </c>
      <c r="D85" s="65">
        <v>422000</v>
      </c>
      <c r="E85" s="65">
        <v>-441000</v>
      </c>
      <c r="F85" s="65">
        <v>-133000</v>
      </c>
    </row>
    <row r="86" spans="1:14" ht="17" customHeight="1" x14ac:dyDescent="0.15">
      <c r="A86" s="53" t="s">
        <v>144</v>
      </c>
      <c r="B86" s="65">
        <v>258000</v>
      </c>
      <c r="C86" s="65">
        <v>803000</v>
      </c>
      <c r="D86" s="65">
        <v>1807000</v>
      </c>
      <c r="E86" s="65">
        <v>2005000</v>
      </c>
      <c r="F86" s="65">
        <v>2745000</v>
      </c>
      <c r="J86" s="115" t="s">
        <v>408</v>
      </c>
    </row>
    <row r="87" spans="1:14" x14ac:dyDescent="0.15">
      <c r="A87" s="80" t="s">
        <v>145</v>
      </c>
      <c r="B87" s="65">
        <v>109207000</v>
      </c>
      <c r="C87" s="65">
        <v>67091000</v>
      </c>
      <c r="D87" s="65">
        <v>65737000</v>
      </c>
      <c r="E87" s="65">
        <v>72903000</v>
      </c>
      <c r="F87" s="65">
        <v>64089000</v>
      </c>
      <c r="H87" s="84" t="s">
        <v>405</v>
      </c>
      <c r="I87" s="53">
        <f>L120</f>
        <v>2863681603.3800001</v>
      </c>
      <c r="J87" s="92">
        <f>I87/I89</f>
        <v>0.95826563551789612</v>
      </c>
      <c r="K87" s="120" t="s">
        <v>429</v>
      </c>
    </row>
    <row r="88" spans="1:14" x14ac:dyDescent="0.15">
      <c r="A88" s="53" t="s">
        <v>146</v>
      </c>
      <c r="B88" s="65">
        <v>8257000</v>
      </c>
      <c r="C88" s="65">
        <v>6306000</v>
      </c>
      <c r="D88" s="65">
        <v>6384000</v>
      </c>
      <c r="E88" s="65">
        <v>41425000</v>
      </c>
      <c r="F88" s="65">
        <v>7842000</v>
      </c>
      <c r="H88" s="84" t="s">
        <v>407</v>
      </c>
      <c r="I88" s="65">
        <f>I102+I103</f>
        <v>124719000</v>
      </c>
      <c r="J88" s="92">
        <f>I88/I89</f>
        <v>4.1734364482103853E-2</v>
      </c>
      <c r="K88" s="120" t="s">
        <v>428</v>
      </c>
    </row>
    <row r="89" spans="1:14" x14ac:dyDescent="0.15">
      <c r="A89" s="53" t="s">
        <v>147</v>
      </c>
      <c r="B89" s="65">
        <v>-7176000</v>
      </c>
      <c r="C89" s="65">
        <v>-3619000</v>
      </c>
      <c r="D89" s="65">
        <v>-2939000</v>
      </c>
      <c r="E89" s="65">
        <v>-33819000</v>
      </c>
      <c r="F89" s="65">
        <v>5980000</v>
      </c>
      <c r="H89" s="84" t="s">
        <v>37</v>
      </c>
      <c r="I89" s="65">
        <f>I87+I88</f>
        <v>2988400603.3800001</v>
      </c>
    </row>
    <row r="90" spans="1:14" x14ac:dyDescent="0.15">
      <c r="A90" s="53" t="s">
        <v>148</v>
      </c>
      <c r="B90" s="65">
        <v>1081000</v>
      </c>
      <c r="C90" s="65">
        <v>2687000</v>
      </c>
      <c r="D90" s="65">
        <v>3445000</v>
      </c>
      <c r="E90" s="65">
        <v>7606000</v>
      </c>
      <c r="F90" s="65">
        <v>13822000</v>
      </c>
    </row>
    <row r="91" spans="1:14" x14ac:dyDescent="0.15">
      <c r="A91" s="53" t="s">
        <v>149</v>
      </c>
      <c r="B91" s="65">
        <v>1620000</v>
      </c>
      <c r="C91" s="65">
        <v>455000</v>
      </c>
      <c r="D91" s="65">
        <v>475000</v>
      </c>
      <c r="E91" s="65">
        <v>551000</v>
      </c>
      <c r="F91" s="65">
        <v>259000</v>
      </c>
      <c r="H91" s="135" t="s">
        <v>412</v>
      </c>
      <c r="I91" s="135"/>
      <c r="J91" s="135"/>
    </row>
    <row r="92" spans="1:14" x14ac:dyDescent="0.15">
      <c r="A92" s="53" t="s">
        <v>150</v>
      </c>
      <c r="B92" s="65">
        <v>-338000</v>
      </c>
      <c r="C92" s="65">
        <v>21000</v>
      </c>
      <c r="D92" s="65">
        <v>-67000</v>
      </c>
      <c r="E92" s="65">
        <v>48000</v>
      </c>
      <c r="F92" s="65">
        <v>2000</v>
      </c>
    </row>
    <row r="93" spans="1:14" ht="13" customHeight="1" x14ac:dyDescent="0.15">
      <c r="A93" s="53" t="s">
        <v>151</v>
      </c>
      <c r="B93" s="65">
        <v>1282000</v>
      </c>
      <c r="C93" s="65">
        <v>476000</v>
      </c>
      <c r="D93" s="65">
        <v>408000</v>
      </c>
      <c r="E93" s="65">
        <v>599000</v>
      </c>
      <c r="F93" s="65">
        <v>261000</v>
      </c>
      <c r="H93" s="84" t="s">
        <v>398</v>
      </c>
      <c r="I93" s="112">
        <v>2.4878999999999998E-2</v>
      </c>
      <c r="J93" s="134" t="s">
        <v>406</v>
      </c>
      <c r="K93" s="134"/>
    </row>
    <row r="94" spans="1:14" x14ac:dyDescent="0.15">
      <c r="A94" s="53" t="s">
        <v>152</v>
      </c>
      <c r="B94" s="65">
        <v>9424000</v>
      </c>
      <c r="C94" s="65">
        <v>3134000</v>
      </c>
      <c r="D94" s="65">
        <v>3962000</v>
      </c>
      <c r="E94" s="65">
        <v>3986000</v>
      </c>
      <c r="F94" s="65">
        <v>1671000</v>
      </c>
      <c r="H94" s="84" t="s">
        <v>397</v>
      </c>
      <c r="I94" s="108">
        <f>'Risk and Return Analysis'!L26</f>
        <v>1.1817619411871438</v>
      </c>
    </row>
    <row r="95" spans="1:14" ht="15" customHeight="1" x14ac:dyDescent="0.15">
      <c r="A95" s="53" t="s">
        <v>153</v>
      </c>
      <c r="B95" s="65">
        <v>2740000</v>
      </c>
      <c r="C95" s="65">
        <v>3383000</v>
      </c>
      <c r="D95" s="65">
        <v>2666000</v>
      </c>
      <c r="E95" s="65">
        <v>1181000</v>
      </c>
      <c r="F95" s="65">
        <v>-16000</v>
      </c>
      <c r="H95" s="84" t="s">
        <v>409</v>
      </c>
      <c r="I95" s="69">
        <v>0.1072</v>
      </c>
      <c r="J95" s="134" t="s">
        <v>413</v>
      </c>
      <c r="K95" s="134"/>
      <c r="L95" s="134"/>
      <c r="M95" s="134"/>
      <c r="N95" s="134"/>
    </row>
    <row r="96" spans="1:14" x14ac:dyDescent="0.15">
      <c r="A96" s="53" t="s">
        <v>154</v>
      </c>
      <c r="B96" s="65">
        <v>12164000</v>
      </c>
      <c r="C96" s="65">
        <v>6517000</v>
      </c>
      <c r="D96" s="65">
        <v>6628000</v>
      </c>
      <c r="E96" s="65">
        <v>5167000</v>
      </c>
      <c r="F96" s="65">
        <v>1655000</v>
      </c>
    </row>
    <row r="97" spans="1:13" x14ac:dyDescent="0.15">
      <c r="A97" s="53" t="s">
        <v>155</v>
      </c>
      <c r="B97" s="65">
        <v>14527000</v>
      </c>
      <c r="C97" s="65">
        <v>9680000</v>
      </c>
      <c r="D97" s="65">
        <v>10481000</v>
      </c>
      <c r="E97" s="65">
        <v>13372000</v>
      </c>
      <c r="F97" s="65">
        <v>15738000</v>
      </c>
      <c r="H97" s="93" t="s">
        <v>230</v>
      </c>
      <c r="I97" s="116">
        <f>I93+ I94* (I95-I93)</f>
        <v>0.12216282476046687</v>
      </c>
    </row>
    <row r="98" spans="1:13" x14ac:dyDescent="0.15">
      <c r="A98" s="68" t="s">
        <v>156</v>
      </c>
      <c r="B98" s="65">
        <v>94680000</v>
      </c>
      <c r="C98" s="65">
        <v>57411000</v>
      </c>
      <c r="D98" s="65">
        <v>55256000</v>
      </c>
      <c r="E98" s="65">
        <v>59531000</v>
      </c>
      <c r="F98" s="65">
        <v>48351000</v>
      </c>
    </row>
    <row r="99" spans="1:13" ht="15" customHeight="1" x14ac:dyDescent="0.15">
      <c r="A99" s="53" t="s">
        <v>157</v>
      </c>
      <c r="B99" s="65">
        <v>16701272</v>
      </c>
      <c r="C99" s="65">
        <v>17352119</v>
      </c>
      <c r="D99" s="65">
        <v>18471336</v>
      </c>
      <c r="E99" s="65">
        <v>19821508</v>
      </c>
      <c r="F99" s="65">
        <v>20868968</v>
      </c>
      <c r="H99" s="135" t="s">
        <v>234</v>
      </c>
      <c r="I99" s="135"/>
      <c r="J99" s="135"/>
    </row>
    <row r="100" spans="1:13" x14ac:dyDescent="0.15">
      <c r="A100" s="53" t="s">
        <v>158</v>
      </c>
      <c r="B100" s="65">
        <v>16864919</v>
      </c>
      <c r="C100" s="65">
        <v>17528214</v>
      </c>
      <c r="D100" s="65">
        <v>18595652</v>
      </c>
      <c r="E100" s="65">
        <v>20000436</v>
      </c>
      <c r="F100" s="65">
        <v>21006768</v>
      </c>
    </row>
    <row r="101" spans="1:13" x14ac:dyDescent="0.15">
      <c r="A101" s="68" t="s">
        <v>159</v>
      </c>
      <c r="B101" s="65">
        <v>16426786</v>
      </c>
      <c r="C101" s="65">
        <v>16976763</v>
      </c>
      <c r="D101" s="65">
        <v>17772944</v>
      </c>
      <c r="E101" s="65">
        <v>19019944</v>
      </c>
      <c r="F101" s="65">
        <v>20504804</v>
      </c>
      <c r="H101" s="84" t="s">
        <v>399</v>
      </c>
      <c r="I101" s="65">
        <f>B84</f>
        <v>2645000</v>
      </c>
      <c r="K101" s="84" t="s">
        <v>403</v>
      </c>
      <c r="L101" s="65">
        <f>'Apple FS'!B67</f>
        <v>109207000</v>
      </c>
    </row>
    <row r="102" spans="1:13" x14ac:dyDescent="0.15">
      <c r="A102" s="53" t="s">
        <v>160</v>
      </c>
      <c r="B102" s="67">
        <v>5.67</v>
      </c>
      <c r="C102" s="67">
        <v>3.31</v>
      </c>
      <c r="D102" s="63">
        <v>2.9929999999999999</v>
      </c>
      <c r="E102" s="63">
        <v>3.0030000000000001</v>
      </c>
      <c r="F102" s="63">
        <v>2.3180000000000001</v>
      </c>
      <c r="H102" s="84" t="s">
        <v>400</v>
      </c>
      <c r="I102" s="65">
        <f>'Apple FS'!B36</f>
        <v>109106000</v>
      </c>
      <c r="K102" s="84" t="s">
        <v>404</v>
      </c>
      <c r="L102" s="65">
        <f>'Apple FS'!B68</f>
        <v>14527000</v>
      </c>
    </row>
    <row r="103" spans="1:13" x14ac:dyDescent="0.15">
      <c r="A103" s="53" t="s">
        <v>161</v>
      </c>
      <c r="B103" s="67">
        <v>5.61</v>
      </c>
      <c r="C103" s="67">
        <v>3.28</v>
      </c>
      <c r="D103" s="63">
        <v>2.9729999999999999</v>
      </c>
      <c r="E103" s="63">
        <v>2.9780000000000002</v>
      </c>
      <c r="F103" s="63">
        <v>2.3029999999999999</v>
      </c>
      <c r="H103" s="84" t="s">
        <v>401</v>
      </c>
      <c r="I103" s="65">
        <f>'Apple FS'!B33</f>
        <v>15613000</v>
      </c>
    </row>
    <row r="104" spans="1:13" x14ac:dyDescent="0.15">
      <c r="A104" s="53" t="s">
        <v>162</v>
      </c>
      <c r="B104" s="53" t="s">
        <v>11</v>
      </c>
      <c r="C104" s="63">
        <v>0.79500000000000004</v>
      </c>
      <c r="D104" s="67">
        <v>0.75</v>
      </c>
      <c r="E104" s="67">
        <v>0.68</v>
      </c>
      <c r="F104" s="82">
        <v>0.6</v>
      </c>
      <c r="K104" s="93" t="s">
        <v>218</v>
      </c>
      <c r="L104" s="92">
        <f>L102/L101</f>
        <v>0.13302260844085087</v>
      </c>
    </row>
    <row r="105" spans="1:13" x14ac:dyDescent="0.15">
      <c r="A105" s="53" t="s">
        <v>163</v>
      </c>
      <c r="B105" s="65">
        <v>154000</v>
      </c>
      <c r="C105" s="65">
        <v>147000</v>
      </c>
      <c r="D105" s="65">
        <v>137000</v>
      </c>
      <c r="E105" s="65">
        <v>132000</v>
      </c>
      <c r="F105" s="65">
        <v>123000</v>
      </c>
      <c r="H105" s="93" t="s">
        <v>402</v>
      </c>
      <c r="I105" s="92">
        <f>I101/ (I102+I103)</f>
        <v>2.1207674853069701E-2</v>
      </c>
    </row>
    <row r="106" spans="1:13" x14ac:dyDescent="0.15">
      <c r="A106" s="53" t="s">
        <v>164</v>
      </c>
      <c r="B106" s="65">
        <v>23502</v>
      </c>
      <c r="C106" s="65">
        <v>22797</v>
      </c>
      <c r="D106" s="65">
        <v>23233</v>
      </c>
      <c r="E106" s="65">
        <v>23710</v>
      </c>
      <c r="F106" s="65">
        <v>25333</v>
      </c>
    </row>
    <row r="107" spans="1:13" x14ac:dyDescent="0.15">
      <c r="A107" s="53" t="s">
        <v>165</v>
      </c>
      <c r="B107" s="53" t="s">
        <v>11</v>
      </c>
      <c r="C107" s="65">
        <v>88000</v>
      </c>
      <c r="D107" s="65">
        <v>-408000</v>
      </c>
      <c r="E107" s="65">
        <v>-525000</v>
      </c>
      <c r="F107" s="65">
        <v>224000</v>
      </c>
      <c r="H107" s="136" t="s">
        <v>414</v>
      </c>
      <c r="I107" s="136"/>
      <c r="J107" s="136"/>
      <c r="K107" s="117"/>
      <c r="L107" s="117"/>
      <c r="M107" s="117"/>
    </row>
    <row r="109" spans="1:13" ht="16" x14ac:dyDescent="0.15">
      <c r="A109" s="88" t="s">
        <v>166</v>
      </c>
      <c r="B109" s="79"/>
      <c r="C109" s="79"/>
      <c r="D109" s="79"/>
      <c r="E109" s="79"/>
      <c r="F109" s="79"/>
      <c r="H109" s="93" t="s">
        <v>230</v>
      </c>
      <c r="I109" s="111">
        <f>I97</f>
        <v>0.12216282476046687</v>
      </c>
      <c r="K109" s="120" t="s">
        <v>429</v>
      </c>
      <c r="L109" s="116">
        <f>J87</f>
        <v>0.95826563551789612</v>
      </c>
    </row>
    <row r="110" spans="1:13" ht="16" x14ac:dyDescent="0.15">
      <c r="A110" s="89" t="s">
        <v>1</v>
      </c>
      <c r="B110" s="88" t="s">
        <v>80</v>
      </c>
      <c r="C110" s="88" t="s">
        <v>81</v>
      </c>
      <c r="D110" s="88" t="s">
        <v>82</v>
      </c>
      <c r="E110" s="88" t="s">
        <v>83</v>
      </c>
      <c r="F110" s="88" t="s">
        <v>84</v>
      </c>
      <c r="G110" s="56"/>
      <c r="H110" s="93" t="s">
        <v>402</v>
      </c>
      <c r="I110" s="111">
        <f>I105</f>
        <v>2.1207674853069701E-2</v>
      </c>
      <c r="K110" s="120" t="s">
        <v>428</v>
      </c>
      <c r="L110" s="116">
        <f>J88</f>
        <v>4.1734364482103853E-2</v>
      </c>
    </row>
    <row r="111" spans="1:13" ht="16" customHeight="1" x14ac:dyDescent="0.15">
      <c r="A111" s="89" t="s">
        <v>2</v>
      </c>
      <c r="B111" s="88" t="s">
        <v>3</v>
      </c>
      <c r="C111" s="88" t="s">
        <v>3</v>
      </c>
      <c r="D111" s="88" t="s">
        <v>3</v>
      </c>
      <c r="E111" s="88" t="s">
        <v>3</v>
      </c>
      <c r="F111" s="88" t="s">
        <v>3</v>
      </c>
      <c r="G111" s="56"/>
      <c r="H111" s="93" t="s">
        <v>218</v>
      </c>
      <c r="I111" s="111">
        <f>L104</f>
        <v>0.13302260844085087</v>
      </c>
    </row>
    <row r="112" spans="1:13" ht="16" x14ac:dyDescent="0.15">
      <c r="A112" s="89" t="s">
        <v>4</v>
      </c>
      <c r="B112" s="88" t="s">
        <v>5</v>
      </c>
      <c r="C112" s="88" t="s">
        <v>5</v>
      </c>
      <c r="D112" s="88" t="s">
        <v>5</v>
      </c>
      <c r="E112" s="88" t="s">
        <v>5</v>
      </c>
      <c r="F112" s="88" t="s">
        <v>5</v>
      </c>
      <c r="G112" s="56"/>
      <c r="K112" s="132" t="s">
        <v>225</v>
      </c>
      <c r="L112" s="131">
        <f>I113</f>
        <v>0.11783178891273353</v>
      </c>
    </row>
    <row r="113" spans="1:16" ht="16" customHeight="1" x14ac:dyDescent="0.15">
      <c r="A113" s="89" t="s">
        <v>6</v>
      </c>
      <c r="B113" s="88" t="s">
        <v>7</v>
      </c>
      <c r="C113" s="88" t="s">
        <v>7</v>
      </c>
      <c r="D113" s="88" t="s">
        <v>7</v>
      </c>
      <c r="E113" s="88" t="s">
        <v>7</v>
      </c>
      <c r="F113" s="88" t="s">
        <v>7</v>
      </c>
      <c r="G113" s="56"/>
      <c r="H113" s="93" t="s">
        <v>225</v>
      </c>
      <c r="I113" s="118">
        <f>(J87*I109)+( (J88*I110) *(1-I111))</f>
        <v>0.11783178891273353</v>
      </c>
    </row>
    <row r="114" spans="1:16" ht="16" x14ac:dyDescent="0.15">
      <c r="A114" s="89" t="s">
        <v>8</v>
      </c>
      <c r="B114" s="88" t="s">
        <v>9</v>
      </c>
      <c r="C114" s="88" t="s">
        <v>9</v>
      </c>
      <c r="D114" s="88" t="s">
        <v>9</v>
      </c>
      <c r="E114" s="88" t="s">
        <v>9</v>
      </c>
      <c r="F114" s="88" t="s">
        <v>9</v>
      </c>
      <c r="G114" s="56"/>
    </row>
    <row r="115" spans="1:16" ht="15" customHeight="1" x14ac:dyDescent="0.15">
      <c r="A115" s="79" t="s">
        <v>167</v>
      </c>
      <c r="B115" s="90">
        <v>14966000</v>
      </c>
      <c r="C115" s="90">
        <v>45898000</v>
      </c>
      <c r="D115" s="90">
        <v>70400000</v>
      </c>
      <c r="E115" s="90">
        <v>98330000</v>
      </c>
      <c r="F115" s="90">
        <v>96364000</v>
      </c>
      <c r="H115" s="133" t="s">
        <v>248</v>
      </c>
      <c r="I115" s="133"/>
      <c r="J115" s="133"/>
      <c r="K115" s="133"/>
      <c r="L115" s="133"/>
      <c r="M115" s="133"/>
    </row>
    <row r="116" spans="1:16" ht="15" customHeight="1" x14ac:dyDescent="0.15">
      <c r="A116" s="79" t="s">
        <v>168</v>
      </c>
      <c r="B116" s="79" t="s">
        <v>11</v>
      </c>
      <c r="C116" s="90">
        <v>-136000</v>
      </c>
      <c r="D116" s="90">
        <v>2501000</v>
      </c>
      <c r="E116" s="90">
        <v>278000</v>
      </c>
      <c r="F116" s="79" t="s">
        <v>11</v>
      </c>
    </row>
    <row r="117" spans="1:16" ht="18" customHeight="1" x14ac:dyDescent="0.15">
      <c r="A117" s="79" t="s">
        <v>169</v>
      </c>
      <c r="B117" s="90">
        <v>14431000</v>
      </c>
      <c r="C117" s="90">
        <v>14087000</v>
      </c>
      <c r="D117" s="90">
        <v>14129000</v>
      </c>
      <c r="E117" s="90">
        <v>13735000</v>
      </c>
      <c r="F117" s="90">
        <v>12803000</v>
      </c>
      <c r="H117" s="84" t="s">
        <v>223</v>
      </c>
      <c r="I117" s="81">
        <f>B101</f>
        <v>16426786</v>
      </c>
    </row>
    <row r="118" spans="1:16" ht="17" customHeight="1" x14ac:dyDescent="0.15">
      <c r="A118" s="79" t="s">
        <v>170</v>
      </c>
      <c r="B118" s="90">
        <v>85502000</v>
      </c>
      <c r="C118" s="90">
        <v>72516000</v>
      </c>
      <c r="D118" s="90">
        <v>67101000</v>
      </c>
      <c r="E118" s="90">
        <v>73056000</v>
      </c>
      <c r="F118" s="90">
        <v>33001000</v>
      </c>
      <c r="H118" s="84" t="s">
        <v>224</v>
      </c>
      <c r="I118" s="53">
        <v>174.33</v>
      </c>
      <c r="J118" s="137" t="s">
        <v>249</v>
      </c>
      <c r="K118" s="137"/>
    </row>
    <row r="119" spans="1:16" x14ac:dyDescent="0.15">
      <c r="A119" s="79" t="s">
        <v>171</v>
      </c>
      <c r="B119" s="90">
        <v>4151000</v>
      </c>
      <c r="C119" s="90">
        <v>1604000</v>
      </c>
      <c r="D119" s="90">
        <v>1029000</v>
      </c>
      <c r="E119" s="90">
        <v>948000</v>
      </c>
      <c r="F119" s="90">
        <v>581000</v>
      </c>
    </row>
    <row r="120" spans="1:16" ht="18" customHeight="1" x14ac:dyDescent="0.15">
      <c r="A120" s="79" t="s">
        <v>123</v>
      </c>
      <c r="B120" s="90">
        <v>5562000</v>
      </c>
      <c r="C120" s="90">
        <v>14966000</v>
      </c>
      <c r="D120" s="90">
        <v>45898000</v>
      </c>
      <c r="E120" s="90">
        <v>70400000</v>
      </c>
      <c r="F120" s="90">
        <v>98330000</v>
      </c>
      <c r="H120" s="138" t="s">
        <v>222</v>
      </c>
      <c r="I120" s="138"/>
      <c r="J120" s="138"/>
      <c r="K120" s="138"/>
      <c r="L120" s="79">
        <f>I118*I117</f>
        <v>2863681603.3800001</v>
      </c>
      <c r="O120" s="94"/>
      <c r="P120" s="94"/>
    </row>
    <row r="122" spans="1:16" ht="16" x14ac:dyDescent="0.15">
      <c r="A122" s="60" t="s">
        <v>172</v>
      </c>
    </row>
    <row r="123" spans="1:16" s="79" customFormat="1" ht="16" x14ac:dyDescent="0.15">
      <c r="A123" s="56" t="s">
        <v>1</v>
      </c>
      <c r="B123" s="60" t="s">
        <v>80</v>
      </c>
      <c r="C123" s="60" t="s">
        <v>81</v>
      </c>
      <c r="D123" s="60" t="s">
        <v>82</v>
      </c>
      <c r="E123" s="60" t="s">
        <v>83</v>
      </c>
      <c r="F123" s="60" t="s">
        <v>84</v>
      </c>
      <c r="G123" s="56"/>
      <c r="H123" s="53"/>
      <c r="I123" s="127"/>
      <c r="J123" s="127"/>
      <c r="K123" s="127"/>
      <c r="L123" s="127"/>
      <c r="M123" s="127"/>
    </row>
    <row r="124" spans="1:16" ht="16" x14ac:dyDescent="0.15">
      <c r="A124" s="56" t="s">
        <v>2</v>
      </c>
      <c r="B124" s="60" t="s">
        <v>3</v>
      </c>
      <c r="C124" s="60" t="s">
        <v>3</v>
      </c>
      <c r="D124" s="60" t="s">
        <v>3</v>
      </c>
      <c r="E124" s="60" t="s">
        <v>3</v>
      </c>
      <c r="F124" s="60" t="s">
        <v>3</v>
      </c>
      <c r="G124" s="56"/>
      <c r="H124" s="122"/>
      <c r="I124" s="123"/>
      <c r="J124" s="123"/>
      <c r="K124" s="123"/>
      <c r="L124" s="123"/>
      <c r="M124" s="123"/>
    </row>
    <row r="125" spans="1:16" ht="16" x14ac:dyDescent="0.15">
      <c r="A125" s="56" t="s">
        <v>4</v>
      </c>
      <c r="B125" s="60" t="s">
        <v>5</v>
      </c>
      <c r="C125" s="60" t="s">
        <v>5</v>
      </c>
      <c r="D125" s="60" t="s">
        <v>5</v>
      </c>
      <c r="E125" s="60" t="s">
        <v>5</v>
      </c>
      <c r="F125" s="60" t="s">
        <v>5</v>
      </c>
      <c r="G125" s="56"/>
      <c r="H125" s="122"/>
      <c r="I125" s="123"/>
      <c r="J125" s="123"/>
      <c r="K125" s="123"/>
      <c r="L125" s="123"/>
      <c r="M125" s="123"/>
    </row>
    <row r="126" spans="1:16" ht="16" x14ac:dyDescent="0.15">
      <c r="A126" s="56" t="s">
        <v>6</v>
      </c>
      <c r="B126" s="60" t="s">
        <v>7</v>
      </c>
      <c r="C126" s="60" t="s">
        <v>7</v>
      </c>
      <c r="D126" s="60" t="s">
        <v>7</v>
      </c>
      <c r="E126" s="60" t="s">
        <v>7</v>
      </c>
      <c r="F126" s="60" t="s">
        <v>7</v>
      </c>
      <c r="G126" s="56"/>
      <c r="H126" s="122"/>
      <c r="I126" s="123"/>
      <c r="J126" s="123"/>
      <c r="K126" s="123"/>
      <c r="L126" s="123"/>
      <c r="M126" s="123"/>
    </row>
    <row r="127" spans="1:16" ht="16" x14ac:dyDescent="0.15">
      <c r="A127" s="56" t="s">
        <v>8</v>
      </c>
      <c r="B127" s="60" t="s">
        <v>9</v>
      </c>
      <c r="C127" s="60" t="s">
        <v>9</v>
      </c>
      <c r="D127" s="60" t="s">
        <v>9</v>
      </c>
      <c r="E127" s="60" t="s">
        <v>9</v>
      </c>
      <c r="F127" s="60" t="s">
        <v>9</v>
      </c>
      <c r="G127" s="56"/>
      <c r="H127" s="122"/>
      <c r="I127" s="122"/>
      <c r="J127" s="65"/>
      <c r="K127" s="65"/>
      <c r="L127" s="65"/>
      <c r="M127" s="65"/>
    </row>
    <row r="128" spans="1:16" x14ac:dyDescent="0.15">
      <c r="A128" s="53" t="s">
        <v>156</v>
      </c>
      <c r="B128" s="65">
        <v>94680000</v>
      </c>
      <c r="C128" s="65">
        <v>57411000</v>
      </c>
      <c r="D128" s="65">
        <v>55256000</v>
      </c>
      <c r="E128" s="65">
        <v>59531000</v>
      </c>
      <c r="F128" s="65">
        <v>48351000</v>
      </c>
      <c r="H128" s="122"/>
      <c r="I128" s="122"/>
      <c r="J128" s="122"/>
      <c r="K128" s="122"/>
      <c r="L128" s="122"/>
      <c r="M128" s="122"/>
    </row>
    <row r="129" spans="1:13" x14ac:dyDescent="0.15">
      <c r="A129" s="53" t="s">
        <v>173</v>
      </c>
      <c r="B129" s="65">
        <v>11284000</v>
      </c>
      <c r="C129" s="65">
        <v>11056000</v>
      </c>
      <c r="D129" s="65">
        <v>12547000</v>
      </c>
      <c r="E129" s="65">
        <v>10903000</v>
      </c>
      <c r="F129" s="65">
        <v>10157000</v>
      </c>
      <c r="H129" s="122"/>
      <c r="I129" s="122"/>
      <c r="J129" s="65"/>
      <c r="K129" s="65"/>
      <c r="L129" s="65"/>
      <c r="M129" s="65"/>
    </row>
    <row r="130" spans="1:13" x14ac:dyDescent="0.15">
      <c r="A130" s="53" t="s">
        <v>174</v>
      </c>
      <c r="B130" s="65">
        <v>7906000</v>
      </c>
      <c r="C130" s="65">
        <v>6829000</v>
      </c>
      <c r="D130" s="65">
        <v>6068000</v>
      </c>
      <c r="E130" s="65">
        <v>5340000</v>
      </c>
      <c r="F130" s="65">
        <v>4840000</v>
      </c>
    </row>
    <row r="131" spans="1:13" x14ac:dyDescent="0.15">
      <c r="A131" s="53" t="s">
        <v>175</v>
      </c>
      <c r="B131" s="65">
        <v>-4774000</v>
      </c>
      <c r="C131" s="65">
        <v>-215000</v>
      </c>
      <c r="D131" s="65">
        <v>-340000</v>
      </c>
      <c r="E131" s="65">
        <v>-32590000</v>
      </c>
      <c r="F131" s="65">
        <v>5966000</v>
      </c>
    </row>
    <row r="132" spans="1:13" x14ac:dyDescent="0.15">
      <c r="A132" s="53" t="s">
        <v>176</v>
      </c>
      <c r="B132" s="65">
        <v>-147000</v>
      </c>
      <c r="C132" s="65">
        <v>-97000</v>
      </c>
      <c r="D132" s="65">
        <v>-652000</v>
      </c>
      <c r="E132" s="65">
        <v>-444000</v>
      </c>
      <c r="F132" s="65">
        <v>-166000</v>
      </c>
    </row>
    <row r="133" spans="1:13" x14ac:dyDescent="0.15">
      <c r="A133" s="53" t="s">
        <v>89</v>
      </c>
      <c r="B133" s="65">
        <v>-10125000</v>
      </c>
      <c r="C133" s="65">
        <v>6917000</v>
      </c>
      <c r="D133" s="65">
        <v>245000</v>
      </c>
      <c r="E133" s="65">
        <v>-5322000</v>
      </c>
      <c r="F133" s="65">
        <v>-2093000</v>
      </c>
      <c r="H133" s="122"/>
      <c r="I133" s="124"/>
      <c r="J133" s="65"/>
      <c r="K133" s="65"/>
      <c r="L133" s="65"/>
      <c r="M133" s="65"/>
    </row>
    <row r="134" spans="1:13" x14ac:dyDescent="0.15">
      <c r="A134" s="53" t="s">
        <v>10</v>
      </c>
      <c r="B134" s="65">
        <v>-2642000</v>
      </c>
      <c r="C134" s="65">
        <v>-127000</v>
      </c>
      <c r="D134" s="65">
        <v>-289000</v>
      </c>
      <c r="E134" s="65">
        <v>828000</v>
      </c>
      <c r="F134" s="65">
        <v>-2723000</v>
      </c>
      <c r="H134" s="122"/>
      <c r="I134" s="125"/>
      <c r="J134" s="69"/>
      <c r="K134" s="69"/>
      <c r="L134" s="69"/>
      <c r="M134" s="69"/>
    </row>
    <row r="135" spans="1:13" x14ac:dyDescent="0.15">
      <c r="A135" s="53" t="s">
        <v>90</v>
      </c>
      <c r="B135" s="65">
        <v>-3903000</v>
      </c>
      <c r="C135" s="65">
        <v>1553000</v>
      </c>
      <c r="D135" s="65">
        <v>2931000</v>
      </c>
      <c r="E135" s="65">
        <v>-8010000</v>
      </c>
      <c r="F135" s="65">
        <v>-4254000</v>
      </c>
      <c r="H135" s="122"/>
      <c r="I135" s="122"/>
      <c r="J135" s="65"/>
      <c r="K135" s="65"/>
      <c r="L135" s="65"/>
      <c r="M135" s="65"/>
    </row>
    <row r="136" spans="1:13" x14ac:dyDescent="0.15">
      <c r="A136" s="53" t="s">
        <v>177</v>
      </c>
      <c r="B136" s="65">
        <v>-8042000</v>
      </c>
      <c r="C136" s="65">
        <v>-9588000</v>
      </c>
      <c r="D136" s="65">
        <v>873000</v>
      </c>
      <c r="E136" s="65">
        <v>-423000</v>
      </c>
      <c r="F136" s="65">
        <v>-5318000</v>
      </c>
    </row>
    <row r="137" spans="1:13" x14ac:dyDescent="0.15">
      <c r="A137" s="53" t="s">
        <v>104</v>
      </c>
      <c r="B137" s="65">
        <v>12326000</v>
      </c>
      <c r="C137" s="65">
        <v>-4062000</v>
      </c>
      <c r="D137" s="65">
        <v>-1923000</v>
      </c>
      <c r="E137" s="65">
        <v>9175000</v>
      </c>
      <c r="F137" s="65">
        <v>9618000</v>
      </c>
    </row>
    <row r="138" spans="1:13" x14ac:dyDescent="0.15">
      <c r="A138" s="53" t="s">
        <v>106</v>
      </c>
      <c r="B138" s="65">
        <v>1676000</v>
      </c>
      <c r="C138" s="65">
        <v>2081000</v>
      </c>
      <c r="D138" s="65">
        <v>-625000</v>
      </c>
      <c r="E138" s="65">
        <v>-44000</v>
      </c>
      <c r="F138" s="65">
        <v>-626000</v>
      </c>
    </row>
    <row r="139" spans="1:13" x14ac:dyDescent="0.15">
      <c r="A139" s="53" t="s">
        <v>178</v>
      </c>
      <c r="B139" s="65">
        <v>5799000</v>
      </c>
      <c r="C139" s="65">
        <v>8916000</v>
      </c>
      <c r="D139" s="65">
        <v>-4700000</v>
      </c>
      <c r="E139" s="65">
        <v>38490000</v>
      </c>
      <c r="F139" s="65">
        <v>-154000</v>
      </c>
      <c r="H139" s="122"/>
      <c r="I139" s="126"/>
    </row>
    <row r="140" spans="1:13" x14ac:dyDescent="0.15">
      <c r="A140" s="53" t="s">
        <v>179</v>
      </c>
      <c r="B140" s="65">
        <v>104038000</v>
      </c>
      <c r="C140" s="65">
        <v>80674000</v>
      </c>
      <c r="D140" s="65">
        <v>69391000</v>
      </c>
      <c r="E140" s="65">
        <v>77434000</v>
      </c>
      <c r="F140" s="65">
        <v>63598000</v>
      </c>
      <c r="H140" s="122"/>
      <c r="I140" s="126"/>
    </row>
    <row r="141" spans="1:13" x14ac:dyDescent="0.15">
      <c r="A141" s="53" t="s">
        <v>180</v>
      </c>
      <c r="B141" s="65">
        <v>-109558000</v>
      </c>
      <c r="C141" s="65">
        <v>-114938000</v>
      </c>
      <c r="D141" s="65">
        <v>-39630000</v>
      </c>
      <c r="E141" s="65">
        <v>-71356000</v>
      </c>
      <c r="F141" s="65">
        <v>-159486000</v>
      </c>
    </row>
    <row r="142" spans="1:13" x14ac:dyDescent="0.15">
      <c r="A142" s="53" t="s">
        <v>181</v>
      </c>
      <c r="B142" s="65">
        <v>59023000</v>
      </c>
      <c r="C142" s="65">
        <v>69918000</v>
      </c>
      <c r="D142" s="65">
        <v>40102000</v>
      </c>
      <c r="E142" s="65">
        <v>55881000</v>
      </c>
      <c r="F142" s="65">
        <v>31775000</v>
      </c>
      <c r="H142" s="121"/>
    </row>
    <row r="143" spans="1:13" x14ac:dyDescent="0.15">
      <c r="A143" s="53" t="s">
        <v>182</v>
      </c>
      <c r="B143" s="65">
        <v>47460000</v>
      </c>
      <c r="C143" s="65">
        <v>50473000</v>
      </c>
      <c r="D143" s="65">
        <v>56988000</v>
      </c>
      <c r="E143" s="65">
        <v>47838000</v>
      </c>
      <c r="F143" s="65">
        <v>94564000</v>
      </c>
    </row>
    <row r="144" spans="1:13" x14ac:dyDescent="0.15">
      <c r="A144" s="53" t="s">
        <v>183</v>
      </c>
      <c r="B144" s="65">
        <v>-33000</v>
      </c>
      <c r="C144" s="65">
        <v>-1524000</v>
      </c>
      <c r="D144" s="65">
        <v>-624000</v>
      </c>
      <c r="E144" s="65">
        <v>-721000</v>
      </c>
      <c r="F144" s="65">
        <v>-329000</v>
      </c>
      <c r="I144" s="65"/>
    </row>
    <row r="145" spans="1:6" x14ac:dyDescent="0.15">
      <c r="A145" s="53" t="s">
        <v>184</v>
      </c>
      <c r="B145" s="65">
        <v>-131000</v>
      </c>
      <c r="C145" s="65">
        <v>-210000</v>
      </c>
      <c r="D145" s="65">
        <v>-1001000</v>
      </c>
      <c r="E145" s="65">
        <v>-1871000</v>
      </c>
      <c r="F145" s="53" t="s">
        <v>11</v>
      </c>
    </row>
    <row r="146" spans="1:6" x14ac:dyDescent="0.15">
      <c r="A146" s="53" t="s">
        <v>185</v>
      </c>
      <c r="B146" s="65">
        <v>387000</v>
      </c>
      <c r="C146" s="65">
        <v>92000</v>
      </c>
      <c r="D146" s="65">
        <v>1634000</v>
      </c>
      <c r="E146" s="65">
        <v>353000</v>
      </c>
      <c r="F146" s="53" t="s">
        <v>11</v>
      </c>
    </row>
    <row r="147" spans="1:6" x14ac:dyDescent="0.15">
      <c r="A147" s="53" t="s">
        <v>186</v>
      </c>
      <c r="B147" s="65">
        <v>-11085000</v>
      </c>
      <c r="C147" s="65">
        <v>-7309000</v>
      </c>
      <c r="D147" s="65">
        <v>-10495000</v>
      </c>
      <c r="E147" s="65">
        <v>-13313000</v>
      </c>
      <c r="F147" s="65">
        <v>-12451000</v>
      </c>
    </row>
    <row r="148" spans="1:6" x14ac:dyDescent="0.15">
      <c r="A148" s="53" t="s">
        <v>187</v>
      </c>
      <c r="B148" s="53" t="s">
        <v>11</v>
      </c>
      <c r="C148" s="53" t="s">
        <v>11</v>
      </c>
      <c r="D148" s="53" t="s">
        <v>11</v>
      </c>
      <c r="E148" s="53" t="s">
        <v>11</v>
      </c>
      <c r="F148" s="65">
        <v>-344000</v>
      </c>
    </row>
    <row r="149" spans="1:6" x14ac:dyDescent="0.15">
      <c r="A149" s="53" t="s">
        <v>188</v>
      </c>
      <c r="B149" s="53" t="s">
        <v>11</v>
      </c>
      <c r="C149" s="53" t="s">
        <v>11</v>
      </c>
      <c r="D149" s="53" t="s">
        <v>11</v>
      </c>
      <c r="E149" s="53" t="s">
        <v>11</v>
      </c>
      <c r="F149" s="65">
        <v>-395000</v>
      </c>
    </row>
    <row r="150" spans="1:6" x14ac:dyDescent="0.15">
      <c r="A150" s="53" t="s">
        <v>189</v>
      </c>
      <c r="B150" s="65">
        <v>-608000</v>
      </c>
      <c r="C150" s="65">
        <v>-791000</v>
      </c>
      <c r="D150" s="65">
        <v>-1078000</v>
      </c>
      <c r="E150" s="65">
        <v>-745000</v>
      </c>
      <c r="F150" s="65">
        <v>220000</v>
      </c>
    </row>
    <row r="151" spans="1:6" x14ac:dyDescent="0.15">
      <c r="A151" s="53" t="s">
        <v>190</v>
      </c>
      <c r="B151" s="65">
        <v>-14545000</v>
      </c>
      <c r="C151" s="65">
        <v>-4289000</v>
      </c>
      <c r="D151" s="65">
        <v>45896000</v>
      </c>
      <c r="E151" s="65">
        <v>16066000</v>
      </c>
      <c r="F151" s="65">
        <v>-46446000</v>
      </c>
    </row>
    <row r="152" spans="1:6" x14ac:dyDescent="0.15">
      <c r="A152" s="53" t="s">
        <v>191</v>
      </c>
      <c r="B152" s="65">
        <v>1105000</v>
      </c>
      <c r="C152" s="65">
        <v>880000</v>
      </c>
      <c r="D152" s="65">
        <v>781000</v>
      </c>
      <c r="E152" s="65">
        <v>669000</v>
      </c>
      <c r="F152" s="65">
        <v>555000</v>
      </c>
    </row>
    <row r="153" spans="1:6" x14ac:dyDescent="0.15">
      <c r="A153" s="53" t="s">
        <v>192</v>
      </c>
      <c r="B153" s="53" t="s">
        <v>11</v>
      </c>
      <c r="C153" s="53" t="s">
        <v>11</v>
      </c>
      <c r="D153" s="53" t="s">
        <v>11</v>
      </c>
      <c r="E153" s="53" t="s">
        <v>11</v>
      </c>
      <c r="F153" s="65">
        <v>627000</v>
      </c>
    </row>
    <row r="154" spans="1:6" x14ac:dyDescent="0.15">
      <c r="A154" s="53" t="s">
        <v>193</v>
      </c>
      <c r="B154" s="65">
        <v>-6556000</v>
      </c>
      <c r="C154" s="65">
        <v>-3634000</v>
      </c>
      <c r="D154" s="65">
        <v>-2817000</v>
      </c>
      <c r="E154" s="65">
        <v>-2527000</v>
      </c>
      <c r="F154" s="65">
        <v>-1874000</v>
      </c>
    </row>
    <row r="155" spans="1:6" x14ac:dyDescent="0.15">
      <c r="A155" s="68" t="s">
        <v>194</v>
      </c>
      <c r="B155" s="65">
        <v>-14467000</v>
      </c>
      <c r="C155" s="65">
        <v>-14081000</v>
      </c>
      <c r="D155" s="65">
        <v>-14119000</v>
      </c>
      <c r="E155" s="65">
        <v>-13712000</v>
      </c>
      <c r="F155" s="65">
        <v>-12769000</v>
      </c>
    </row>
    <row r="156" spans="1:6" x14ac:dyDescent="0.15">
      <c r="A156" s="53" t="s">
        <v>195</v>
      </c>
      <c r="B156" s="65">
        <v>-85971000</v>
      </c>
      <c r="C156" s="65">
        <v>-72358000</v>
      </c>
      <c r="D156" s="65">
        <v>-66897000</v>
      </c>
      <c r="E156" s="65">
        <v>-72738000</v>
      </c>
      <c r="F156" s="65">
        <v>-32900000</v>
      </c>
    </row>
    <row r="157" spans="1:6" x14ac:dyDescent="0.15">
      <c r="A157" s="53" t="s">
        <v>196</v>
      </c>
      <c r="B157" s="65">
        <v>20393000</v>
      </c>
      <c r="C157" s="65">
        <v>16091000</v>
      </c>
      <c r="D157" s="65">
        <v>6963000</v>
      </c>
      <c r="E157" s="65">
        <v>6969000</v>
      </c>
      <c r="F157" s="65">
        <v>28662000</v>
      </c>
    </row>
    <row r="158" spans="1:6" x14ac:dyDescent="0.15">
      <c r="A158" s="53" t="s">
        <v>197</v>
      </c>
      <c r="B158" s="65">
        <v>-8750000</v>
      </c>
      <c r="C158" s="65">
        <v>-12629000</v>
      </c>
      <c r="D158" s="65">
        <v>-8805000</v>
      </c>
      <c r="E158" s="65">
        <v>-6500000</v>
      </c>
      <c r="F158" s="65">
        <v>-3500000</v>
      </c>
    </row>
    <row r="159" spans="1:6" x14ac:dyDescent="0.15">
      <c r="A159" s="53" t="s">
        <v>198</v>
      </c>
      <c r="B159" s="65">
        <v>1022000</v>
      </c>
      <c r="C159" s="65">
        <v>-963000</v>
      </c>
      <c r="D159" s="65">
        <v>-5977000</v>
      </c>
      <c r="E159" s="65">
        <v>-37000</v>
      </c>
      <c r="F159" s="65">
        <v>3852000</v>
      </c>
    </row>
    <row r="160" spans="1:6" x14ac:dyDescent="0.15">
      <c r="A160" s="53" t="s">
        <v>199</v>
      </c>
      <c r="B160" s="65">
        <v>-129000</v>
      </c>
      <c r="C160" s="65">
        <v>-126000</v>
      </c>
      <c r="D160" s="65">
        <v>-105000</v>
      </c>
      <c r="E160" s="53" t="s">
        <v>11</v>
      </c>
      <c r="F160" s="53" t="s">
        <v>11</v>
      </c>
    </row>
    <row r="161" spans="1:6" x14ac:dyDescent="0.15">
      <c r="A161" s="53" t="s">
        <v>200</v>
      </c>
      <c r="B161" s="65">
        <v>-93353000</v>
      </c>
      <c r="C161" s="65">
        <v>-86820000</v>
      </c>
      <c r="D161" s="65">
        <v>-90976000</v>
      </c>
      <c r="E161" s="65">
        <v>-87876000</v>
      </c>
      <c r="F161" s="65">
        <v>-17347000</v>
      </c>
    </row>
    <row r="162" spans="1:6" x14ac:dyDescent="0.15">
      <c r="A162" s="53" t="s">
        <v>201</v>
      </c>
      <c r="B162" s="65">
        <v>-3860000</v>
      </c>
      <c r="C162" s="65">
        <v>-10435000</v>
      </c>
      <c r="D162" s="65">
        <v>24311000</v>
      </c>
      <c r="E162" s="53" t="s">
        <v>11</v>
      </c>
      <c r="F162" s="53" t="s">
        <v>11</v>
      </c>
    </row>
    <row r="163" spans="1:6" x14ac:dyDescent="0.15">
      <c r="A163" s="53" t="s">
        <v>202</v>
      </c>
      <c r="B163" s="65">
        <v>39789000</v>
      </c>
      <c r="C163" s="65">
        <v>50224000</v>
      </c>
      <c r="D163" s="65">
        <v>25913000</v>
      </c>
      <c r="E163" s="53" t="s">
        <v>11</v>
      </c>
      <c r="F163" s="53" t="s">
        <v>11</v>
      </c>
    </row>
    <row r="164" spans="1:6" x14ac:dyDescent="0.15">
      <c r="A164" s="53" t="s">
        <v>203</v>
      </c>
      <c r="B164" s="65">
        <v>35929000</v>
      </c>
      <c r="C164" s="65">
        <v>39789000</v>
      </c>
      <c r="D164" s="65">
        <v>50224000</v>
      </c>
      <c r="E164" s="53" t="s">
        <v>11</v>
      </c>
      <c r="F164" s="53" t="s">
        <v>11</v>
      </c>
    </row>
    <row r="165" spans="1:6" x14ac:dyDescent="0.15">
      <c r="A165" s="53" t="s">
        <v>204</v>
      </c>
      <c r="B165" s="53" t="s">
        <v>11</v>
      </c>
      <c r="C165" s="53" t="s">
        <v>11</v>
      </c>
      <c r="D165" s="53" t="s">
        <v>11</v>
      </c>
      <c r="E165" s="65">
        <v>5624000</v>
      </c>
      <c r="F165" s="65">
        <v>-195000</v>
      </c>
    </row>
    <row r="166" spans="1:6" x14ac:dyDescent="0.15">
      <c r="A166" s="53" t="s">
        <v>205</v>
      </c>
      <c r="B166" s="53" t="s">
        <v>11</v>
      </c>
      <c r="C166" s="53" t="s">
        <v>11</v>
      </c>
      <c r="D166" s="53" t="s">
        <v>11</v>
      </c>
      <c r="E166" s="65">
        <v>20289000</v>
      </c>
      <c r="F166" s="65">
        <v>20484000</v>
      </c>
    </row>
    <row r="167" spans="1:6" x14ac:dyDescent="0.15">
      <c r="A167" s="53" t="s">
        <v>206</v>
      </c>
      <c r="B167" s="53" t="s">
        <v>11</v>
      </c>
      <c r="C167" s="53" t="s">
        <v>11</v>
      </c>
      <c r="D167" s="53" t="s">
        <v>11</v>
      </c>
      <c r="E167" s="65">
        <v>25913000</v>
      </c>
      <c r="F167" s="65">
        <v>20289000</v>
      </c>
    </row>
    <row r="168" spans="1:6" x14ac:dyDescent="0.15">
      <c r="A168" s="68" t="s">
        <v>207</v>
      </c>
      <c r="B168" s="65">
        <v>25385000</v>
      </c>
      <c r="C168" s="65">
        <v>9501000</v>
      </c>
      <c r="D168" s="65">
        <v>15263000</v>
      </c>
      <c r="E168" s="65">
        <v>10417000</v>
      </c>
      <c r="F168" s="65">
        <v>11591000</v>
      </c>
    </row>
    <row r="169" spans="1:6" x14ac:dyDescent="0.15">
      <c r="A169" s="53" t="s">
        <v>208</v>
      </c>
      <c r="B169" s="65">
        <v>2687000</v>
      </c>
      <c r="C169" s="65">
        <v>3002000</v>
      </c>
      <c r="D169" s="65">
        <v>3423000</v>
      </c>
      <c r="E169" s="65">
        <v>3022000</v>
      </c>
      <c r="F169" s="65">
        <v>2092000</v>
      </c>
    </row>
  </sheetData>
  <mergeCells count="23">
    <mergeCell ref="N63:O63"/>
    <mergeCell ref="H80:M80"/>
    <mergeCell ref="H1:M1"/>
    <mergeCell ref="K51:L51"/>
    <mergeCell ref="H4:M4"/>
    <mergeCell ref="H9:M9"/>
    <mergeCell ref="H31:M31"/>
    <mergeCell ref="H45:M45"/>
    <mergeCell ref="K58:L58"/>
    <mergeCell ref="K54:L54"/>
    <mergeCell ref="K50:L50"/>
    <mergeCell ref="K52:L52"/>
    <mergeCell ref="H47:M47"/>
    <mergeCell ref="H120:K120"/>
    <mergeCell ref="H82:M82"/>
    <mergeCell ref="H84:J84"/>
    <mergeCell ref="H91:J91"/>
    <mergeCell ref="J93:K93"/>
    <mergeCell ref="H115:M115"/>
    <mergeCell ref="J95:N95"/>
    <mergeCell ref="H99:J99"/>
    <mergeCell ref="H107:J107"/>
    <mergeCell ref="J118:K1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87C81-8A6D-974C-AAEB-3B6554EDEF57}">
  <dimension ref="A1:AC73"/>
  <sheetViews>
    <sheetView zoomScale="110" zoomScaleNormal="110" workbookViewId="0">
      <selection activeCell="Q37" sqref="Q37"/>
    </sheetView>
  </sheetViews>
  <sheetFormatPr baseColWidth="10" defaultRowHeight="16" x14ac:dyDescent="0.2"/>
  <cols>
    <col min="1" max="2" width="14.5" style="2" customWidth="1"/>
    <col min="3" max="3" width="14.5" style="5" customWidth="1"/>
    <col min="4" max="4" width="3.33203125" style="8" customWidth="1"/>
    <col min="5" max="5" width="23.5" style="8" customWidth="1"/>
    <col min="6" max="6" width="17.83203125" style="8" customWidth="1"/>
    <col min="7" max="7" width="3.33203125" style="8" customWidth="1"/>
    <col min="8" max="9" width="14.1640625" style="8" customWidth="1"/>
    <col min="10" max="10" width="3" style="8" customWidth="1"/>
    <col min="11" max="11" width="32.33203125" style="2" customWidth="1"/>
    <col min="12" max="12" width="18" style="8" customWidth="1"/>
    <col min="13" max="13" width="15.33203125" style="8" customWidth="1"/>
    <col min="14" max="18" width="10.83203125" style="8"/>
    <col min="19" max="19" width="14.1640625" style="2" customWidth="1"/>
    <col min="20" max="21" width="10.83203125" style="2"/>
    <col min="22" max="16384" width="10.83203125" style="8"/>
  </cols>
  <sheetData>
    <row r="1" spans="1:21" x14ac:dyDescent="0.2">
      <c r="A1" s="143" t="s">
        <v>251</v>
      </c>
      <c r="B1" s="143"/>
      <c r="C1" s="143"/>
      <c r="D1" s="143"/>
      <c r="E1" s="143"/>
      <c r="F1" s="143"/>
      <c r="G1" s="143"/>
      <c r="H1" s="143"/>
      <c r="I1" s="143"/>
      <c r="J1" s="143"/>
      <c r="K1" s="143"/>
      <c r="L1" s="143"/>
      <c r="M1" s="143"/>
      <c r="N1" s="143"/>
      <c r="O1" s="143"/>
      <c r="P1" s="143"/>
      <c r="Q1" s="143"/>
      <c r="S1" s="38"/>
      <c r="T1" s="38"/>
      <c r="U1" s="38"/>
    </row>
    <row r="2" spans="1:21" x14ac:dyDescent="0.2">
      <c r="A2" s="38"/>
      <c r="B2" s="38"/>
      <c r="K2" s="38"/>
      <c r="S2" s="38"/>
      <c r="T2" s="38"/>
      <c r="U2" s="38"/>
    </row>
    <row r="3" spans="1:21" x14ac:dyDescent="0.2">
      <c r="A3" s="160" t="s">
        <v>27</v>
      </c>
      <c r="B3" s="160"/>
      <c r="C3" s="160"/>
      <c r="D3" s="7"/>
      <c r="E3" s="159" t="s">
        <v>210</v>
      </c>
      <c r="F3" s="159"/>
      <c r="H3" s="147" t="s">
        <v>252</v>
      </c>
      <c r="I3" s="147"/>
      <c r="K3" s="152" t="s">
        <v>212</v>
      </c>
      <c r="L3" s="152"/>
      <c r="M3" s="152"/>
      <c r="N3" s="152"/>
      <c r="O3" s="152"/>
      <c r="P3" s="152"/>
      <c r="Q3" s="152"/>
      <c r="R3" s="152"/>
      <c r="S3" s="152"/>
    </row>
    <row r="4" spans="1:21" ht="14" customHeight="1" x14ac:dyDescent="0.2">
      <c r="K4" s="8"/>
      <c r="S4" s="8"/>
      <c r="T4" s="38"/>
    </row>
    <row r="5" spans="1:21" x14ac:dyDescent="0.2">
      <c r="A5" s="11" t="s">
        <v>15</v>
      </c>
      <c r="B5" s="11" t="s">
        <v>16</v>
      </c>
      <c r="C5" s="10" t="s">
        <v>25</v>
      </c>
      <c r="D5" s="7"/>
      <c r="E5" s="11" t="s">
        <v>16</v>
      </c>
      <c r="F5" s="11" t="s">
        <v>25</v>
      </c>
      <c r="G5" s="7"/>
      <c r="H5" s="6" t="s">
        <v>27</v>
      </c>
      <c r="I5" s="6" t="s">
        <v>215</v>
      </c>
      <c r="K5" s="85" t="s">
        <v>76</v>
      </c>
      <c r="L5" s="85"/>
      <c r="M5"/>
      <c r="N5"/>
      <c r="O5"/>
      <c r="P5"/>
      <c r="Q5"/>
      <c r="R5"/>
      <c r="S5" s="41"/>
      <c r="T5" s="38"/>
    </row>
    <row r="6" spans="1:21" ht="17" thickBot="1" x14ac:dyDescent="0.25">
      <c r="A6" s="1">
        <v>42826</v>
      </c>
      <c r="B6" s="34">
        <v>2384.1999999999998</v>
      </c>
      <c r="C6" s="10" t="s">
        <v>26</v>
      </c>
      <c r="E6" s="36">
        <v>33.907142999999998</v>
      </c>
      <c r="F6" s="11" t="s">
        <v>26</v>
      </c>
      <c r="K6"/>
      <c r="L6"/>
      <c r="M6"/>
      <c r="N6"/>
      <c r="O6"/>
      <c r="P6"/>
      <c r="Q6"/>
      <c r="R6"/>
      <c r="S6" s="41"/>
      <c r="T6" s="38"/>
    </row>
    <row r="7" spans="1:21" x14ac:dyDescent="0.2">
      <c r="A7" s="1">
        <v>42856</v>
      </c>
      <c r="B7" s="34">
        <v>2411.8000000000002</v>
      </c>
      <c r="C7" s="28">
        <f>(B7-B6)/B6</f>
        <v>1.1576210049492646E-2</v>
      </c>
      <c r="E7" s="36">
        <v>36.057468</v>
      </c>
      <c r="F7" s="4">
        <f>(E7-E6)/E6</f>
        <v>6.3418053240286348E-2</v>
      </c>
      <c r="H7" s="29">
        <f t="shared" ref="H7:H38" si="0">C7</f>
        <v>1.1576210049492646E-2</v>
      </c>
      <c r="I7" s="30">
        <f>F7</f>
        <v>6.3418053240286348E-2</v>
      </c>
      <c r="K7" s="42" t="s">
        <v>28</v>
      </c>
      <c r="L7" s="42"/>
      <c r="M7"/>
      <c r="N7"/>
      <c r="O7"/>
      <c r="P7"/>
      <c r="Q7"/>
      <c r="R7"/>
      <c r="S7" s="41"/>
      <c r="T7" s="38"/>
    </row>
    <row r="8" spans="1:21" ht="16" customHeight="1" x14ac:dyDescent="0.2">
      <c r="A8" s="1">
        <v>42887</v>
      </c>
      <c r="B8" s="34">
        <v>2423.41</v>
      </c>
      <c r="C8" s="28">
        <f t="shared" ref="C8:C65" si="1">(B8-B7)/B7</f>
        <v>4.81383199270241E-3</v>
      </c>
      <c r="E8" s="36">
        <v>34.134791999999997</v>
      </c>
      <c r="F8" s="4">
        <f t="shared" ref="F8:F65" si="2">(E8-E7)/E7</f>
        <v>-5.3322546108894912E-2</v>
      </c>
      <c r="H8" s="29">
        <f t="shared" si="0"/>
        <v>4.81383199270241E-3</v>
      </c>
      <c r="I8" s="30">
        <f t="shared" ref="I8:I65" si="3">F8</f>
        <v>-5.3322546108894912E-2</v>
      </c>
      <c r="K8" s="43" t="s">
        <v>29</v>
      </c>
      <c r="L8" s="43">
        <v>0.63417608943379888</v>
      </c>
      <c r="M8"/>
      <c r="N8"/>
      <c r="O8"/>
      <c r="P8"/>
      <c r="Q8"/>
      <c r="R8"/>
      <c r="S8" s="41"/>
      <c r="T8" s="38"/>
    </row>
    <row r="9" spans="1:21" x14ac:dyDescent="0.2">
      <c r="A9" s="1">
        <v>42917</v>
      </c>
      <c r="B9" s="34">
        <v>2470.3000000000002</v>
      </c>
      <c r="C9" s="28">
        <f t="shared" si="1"/>
        <v>1.9348768883515513E-2</v>
      </c>
      <c r="E9" s="36">
        <v>35.251133000000003</v>
      </c>
      <c r="F9" s="4">
        <f t="shared" si="2"/>
        <v>3.2703905153428373E-2</v>
      </c>
      <c r="H9" s="29">
        <f t="shared" si="0"/>
        <v>1.9348768883515513E-2</v>
      </c>
      <c r="I9" s="30">
        <f t="shared" si="3"/>
        <v>3.2703905153428373E-2</v>
      </c>
      <c r="K9" s="43" t="s">
        <v>30</v>
      </c>
      <c r="L9" s="43">
        <v>0.40217931240954569</v>
      </c>
      <c r="M9"/>
      <c r="N9"/>
      <c r="O9"/>
      <c r="P9"/>
      <c r="Q9"/>
      <c r="R9"/>
      <c r="S9" s="41"/>
      <c r="T9" s="38"/>
    </row>
    <row r="10" spans="1:21" x14ac:dyDescent="0.2">
      <c r="A10" s="1">
        <v>42948</v>
      </c>
      <c r="B10" s="34">
        <v>2471.65</v>
      </c>
      <c r="C10" s="28">
        <f t="shared" si="1"/>
        <v>5.4649232886690234E-4</v>
      </c>
      <c r="E10" s="36">
        <v>38.870334999999997</v>
      </c>
      <c r="F10" s="4">
        <f t="shared" si="2"/>
        <v>0.10266909718901784</v>
      </c>
      <c r="H10" s="29">
        <f t="shared" si="0"/>
        <v>5.4649232886690234E-4</v>
      </c>
      <c r="I10" s="30">
        <f t="shared" si="3"/>
        <v>0.10266909718901784</v>
      </c>
      <c r="K10" s="43" t="s">
        <v>31</v>
      </c>
      <c r="L10" s="43">
        <v>0.39169123017111668</v>
      </c>
      <c r="M10"/>
      <c r="N10"/>
      <c r="O10"/>
      <c r="P10"/>
      <c r="Q10"/>
      <c r="R10"/>
      <c r="S10" s="41"/>
      <c r="T10" s="38"/>
    </row>
    <row r="11" spans="1:21" x14ac:dyDescent="0.2">
      <c r="A11" s="1">
        <v>42979</v>
      </c>
      <c r="B11" s="34">
        <v>2519.36</v>
      </c>
      <c r="C11" s="28">
        <f t="shared" si="1"/>
        <v>1.9302894827342074E-2</v>
      </c>
      <c r="E11" s="36">
        <v>36.672080999999999</v>
      </c>
      <c r="F11" s="4">
        <f t="shared" si="2"/>
        <v>-5.6553513109676025E-2</v>
      </c>
      <c r="H11" s="29">
        <f t="shared" si="0"/>
        <v>1.9302894827342074E-2</v>
      </c>
      <c r="I11" s="30">
        <f t="shared" si="3"/>
        <v>-5.6553513109676025E-2</v>
      </c>
      <c r="K11" s="43" t="s">
        <v>32</v>
      </c>
      <c r="L11" s="43">
        <v>6.6615977325218081E-2</v>
      </c>
      <c r="M11"/>
      <c r="N11"/>
      <c r="O11"/>
      <c r="P11"/>
      <c r="Q11"/>
      <c r="R11"/>
      <c r="S11" s="41"/>
      <c r="T11" s="38"/>
    </row>
    <row r="12" spans="1:21" ht="17" thickBot="1" x14ac:dyDescent="0.25">
      <c r="A12" s="1">
        <v>43009</v>
      </c>
      <c r="B12" s="34">
        <v>2575.2600000000002</v>
      </c>
      <c r="C12" s="28">
        <f t="shared" si="1"/>
        <v>2.218817477454595E-2</v>
      </c>
      <c r="E12" s="36">
        <v>40.222228999999999</v>
      </c>
      <c r="F12" s="4">
        <f t="shared" si="2"/>
        <v>9.6807923171853827E-2</v>
      </c>
      <c r="H12" s="29">
        <f t="shared" si="0"/>
        <v>2.218817477454595E-2</v>
      </c>
      <c r="I12" s="30">
        <f t="shared" si="3"/>
        <v>9.6807923171853827E-2</v>
      </c>
      <c r="K12" s="44" t="s">
        <v>33</v>
      </c>
      <c r="L12" s="44">
        <v>59</v>
      </c>
      <c r="M12"/>
      <c r="N12"/>
      <c r="O12"/>
      <c r="P12"/>
      <c r="Q12"/>
      <c r="R12"/>
      <c r="S12" s="41"/>
      <c r="T12" s="38"/>
    </row>
    <row r="13" spans="1:21" x14ac:dyDescent="0.2">
      <c r="A13" s="1">
        <v>43040</v>
      </c>
      <c r="B13" s="34">
        <v>2647.58</v>
      </c>
      <c r="C13" s="28">
        <f t="shared" si="1"/>
        <v>2.8082601368405406E-2</v>
      </c>
      <c r="E13" s="36">
        <v>40.890853999999997</v>
      </c>
      <c r="F13" s="4">
        <f t="shared" si="2"/>
        <v>1.662327067950408E-2</v>
      </c>
      <c r="H13" s="29">
        <f t="shared" si="0"/>
        <v>2.8082601368405406E-2</v>
      </c>
      <c r="I13" s="30">
        <f t="shared" si="3"/>
        <v>1.662327067950408E-2</v>
      </c>
      <c r="K13"/>
      <c r="L13"/>
      <c r="M13"/>
      <c r="N13"/>
      <c r="O13"/>
      <c r="P13"/>
      <c r="Q13"/>
      <c r="R13"/>
      <c r="S13" s="41"/>
      <c r="T13" s="38"/>
    </row>
    <row r="14" spans="1:21" ht="17" thickBot="1" x14ac:dyDescent="0.25">
      <c r="A14" s="1">
        <v>43070</v>
      </c>
      <c r="B14" s="34">
        <v>2673.61</v>
      </c>
      <c r="C14" s="28">
        <f t="shared" si="1"/>
        <v>9.8316198188535195E-3</v>
      </c>
      <c r="E14" s="36">
        <v>40.412182000000001</v>
      </c>
      <c r="F14" s="4">
        <f t="shared" si="2"/>
        <v>-1.1706089581792447E-2</v>
      </c>
      <c r="H14" s="29">
        <f t="shared" si="0"/>
        <v>9.8316198188535195E-3</v>
      </c>
      <c r="I14" s="30">
        <f t="shared" si="3"/>
        <v>-1.1706089581792447E-2</v>
      </c>
      <c r="K14" s="41" t="s">
        <v>34</v>
      </c>
      <c r="L14" s="41"/>
      <c r="M14" s="41"/>
      <c r="N14" s="41"/>
      <c r="O14" s="41"/>
      <c r="P14" s="41"/>
      <c r="Q14" s="41"/>
      <c r="R14" s="41"/>
      <c r="S14" s="41"/>
      <c r="T14" s="38"/>
    </row>
    <row r="15" spans="1:21" s="38" customFormat="1" x14ac:dyDescent="0.2">
      <c r="A15" s="1">
        <v>43101</v>
      </c>
      <c r="B15" s="34">
        <v>2823.81</v>
      </c>
      <c r="C15" s="28">
        <f t="shared" si="1"/>
        <v>5.6178724645703677E-2</v>
      </c>
      <c r="D15" s="8"/>
      <c r="E15" s="36">
        <v>39.982346</v>
      </c>
      <c r="F15" s="4">
        <f t="shared" si="2"/>
        <v>-1.0636297738142465E-2</v>
      </c>
      <c r="G15" s="8"/>
      <c r="H15" s="29">
        <f t="shared" si="0"/>
        <v>5.6178724645703677E-2</v>
      </c>
      <c r="I15" s="30">
        <f t="shared" si="3"/>
        <v>-1.0636297738142465E-2</v>
      </c>
      <c r="J15" s="8"/>
      <c r="K15" s="42"/>
      <c r="L15" s="42" t="s">
        <v>39</v>
      </c>
      <c r="M15" s="42" t="s">
        <v>40</v>
      </c>
      <c r="N15" s="42" t="s">
        <v>41</v>
      </c>
      <c r="O15" s="42" t="s">
        <v>42</v>
      </c>
      <c r="P15" s="42" t="s">
        <v>43</v>
      </c>
      <c r="Q15" s="41"/>
      <c r="R15" s="41"/>
      <c r="S15" s="41"/>
    </row>
    <row r="16" spans="1:21" s="38" customFormat="1" x14ac:dyDescent="0.2">
      <c r="A16" s="1">
        <v>43132</v>
      </c>
      <c r="B16" s="34">
        <v>2713.83</v>
      </c>
      <c r="C16" s="28">
        <f t="shared" si="1"/>
        <v>-3.8947379604151844E-2</v>
      </c>
      <c r="D16" s="8"/>
      <c r="E16" s="36">
        <v>42.535125999999998</v>
      </c>
      <c r="F16" s="4">
        <f t="shared" si="2"/>
        <v>6.3847679173203054E-2</v>
      </c>
      <c r="G16" s="8"/>
      <c r="H16" s="29">
        <f t="shared" si="0"/>
        <v>-3.8947379604151844E-2</v>
      </c>
      <c r="I16" s="30">
        <f t="shared" si="3"/>
        <v>6.3847679173203054E-2</v>
      </c>
      <c r="J16" s="8"/>
      <c r="K16" s="43" t="s">
        <v>35</v>
      </c>
      <c r="L16" s="43">
        <v>1</v>
      </c>
      <c r="M16" s="43">
        <v>0.17016900162493376</v>
      </c>
      <c r="N16" s="43">
        <v>0.17016900162493376</v>
      </c>
      <c r="O16" s="43">
        <v>38.346315681615671</v>
      </c>
      <c r="P16" s="43">
        <v>6.9472687490301983E-8</v>
      </c>
      <c r="Q16" s="41"/>
      <c r="R16" s="41"/>
      <c r="S16" s="41"/>
    </row>
    <row r="17" spans="1:29" s="38" customFormat="1" x14ac:dyDescent="0.2">
      <c r="A17" s="1">
        <v>43160</v>
      </c>
      <c r="B17" s="34">
        <v>2640.87</v>
      </c>
      <c r="C17" s="28">
        <f t="shared" si="1"/>
        <v>-2.6884513768364281E-2</v>
      </c>
      <c r="D17" s="8"/>
      <c r="E17" s="36">
        <v>40.229281999999998</v>
      </c>
      <c r="F17" s="4">
        <f t="shared" si="2"/>
        <v>-5.4210348407102413E-2</v>
      </c>
      <c r="G17" s="8"/>
      <c r="H17" s="29">
        <f t="shared" si="0"/>
        <v>-2.6884513768364281E-2</v>
      </c>
      <c r="I17" s="30">
        <f t="shared" si="3"/>
        <v>-5.4210348407102413E-2</v>
      </c>
      <c r="J17" s="8"/>
      <c r="K17" s="43" t="s">
        <v>36</v>
      </c>
      <c r="L17" s="43">
        <v>57</v>
      </c>
      <c r="M17" s="43">
        <v>0.25294824079465622</v>
      </c>
      <c r="N17" s="43">
        <v>4.4376884349939692E-3</v>
      </c>
      <c r="O17" s="43"/>
      <c r="P17" s="43"/>
      <c r="Q17" s="41"/>
      <c r="R17" s="41"/>
      <c r="S17" s="41"/>
    </row>
    <row r="18" spans="1:29" s="38" customFormat="1" ht="17" thickBot="1" x14ac:dyDescent="0.25">
      <c r="A18" s="1">
        <v>43191</v>
      </c>
      <c r="B18" s="34">
        <v>2648.05</v>
      </c>
      <c r="C18" s="28">
        <f t="shared" si="1"/>
        <v>2.718801001185326E-3</v>
      </c>
      <c r="D18" s="8"/>
      <c r="E18" s="36">
        <v>39.625050000000002</v>
      </c>
      <c r="F18" s="4">
        <f t="shared" si="2"/>
        <v>-1.5019706292545718E-2</v>
      </c>
      <c r="G18" s="8"/>
      <c r="H18" s="29">
        <f t="shared" si="0"/>
        <v>2.718801001185326E-3</v>
      </c>
      <c r="I18" s="30">
        <f t="shared" si="3"/>
        <v>-1.5019706292545718E-2</v>
      </c>
      <c r="J18" s="8"/>
      <c r="K18" s="44" t="s">
        <v>37</v>
      </c>
      <c r="L18" s="44">
        <v>58</v>
      </c>
      <c r="M18" s="44">
        <v>0.42311724241958998</v>
      </c>
      <c r="N18" s="44"/>
      <c r="O18" s="44"/>
      <c r="P18" s="44"/>
      <c r="Q18" s="41"/>
      <c r="R18" s="41"/>
      <c r="S18" s="41"/>
    </row>
    <row r="19" spans="1:29" s="38" customFormat="1" ht="17" thickBot="1" x14ac:dyDescent="0.25">
      <c r="A19" s="1">
        <v>43221</v>
      </c>
      <c r="B19" s="34">
        <v>2705.27</v>
      </c>
      <c r="C19" s="28">
        <f t="shared" si="1"/>
        <v>2.1608353316591378E-2</v>
      </c>
      <c r="D19" s="8"/>
      <c r="E19" s="36">
        <v>44.806564000000002</v>
      </c>
      <c r="F19" s="4">
        <f t="shared" si="2"/>
        <v>0.13076359525098391</v>
      </c>
      <c r="G19" s="8"/>
      <c r="H19" s="29">
        <f t="shared" si="0"/>
        <v>2.1608353316591378E-2</v>
      </c>
      <c r="I19" s="30">
        <f t="shared" si="3"/>
        <v>0.13076359525098391</v>
      </c>
      <c r="J19" s="8"/>
      <c r="K19" s="41"/>
      <c r="L19" s="41"/>
      <c r="M19" s="41"/>
      <c r="N19" s="41"/>
      <c r="O19" s="41"/>
      <c r="P19" s="41"/>
      <c r="Q19" s="41"/>
      <c r="R19" s="41"/>
      <c r="S19" s="41"/>
    </row>
    <row r="20" spans="1:29" s="38" customFormat="1" x14ac:dyDescent="0.2">
      <c r="A20" s="1">
        <v>43252</v>
      </c>
      <c r="B20" s="34">
        <v>2718.37</v>
      </c>
      <c r="C20" s="28">
        <f t="shared" si="1"/>
        <v>4.842400204046143E-3</v>
      </c>
      <c r="D20" s="8"/>
      <c r="E20" s="36">
        <v>44.555717000000001</v>
      </c>
      <c r="F20" s="4">
        <f t="shared" si="2"/>
        <v>-5.5984431209677278E-3</v>
      </c>
      <c r="G20" s="8"/>
      <c r="H20" s="29">
        <f t="shared" si="0"/>
        <v>4.842400204046143E-3</v>
      </c>
      <c r="I20" s="30">
        <f t="shared" si="3"/>
        <v>-5.5984431209677278E-3</v>
      </c>
      <c r="J20" s="8"/>
      <c r="K20" s="42"/>
      <c r="L20" s="42" t="s">
        <v>44</v>
      </c>
      <c r="M20" s="42" t="s">
        <v>32</v>
      </c>
      <c r="N20" s="42" t="s">
        <v>45</v>
      </c>
      <c r="O20" s="42" t="s">
        <v>46</v>
      </c>
      <c r="P20" s="42" t="s">
        <v>47</v>
      </c>
      <c r="Q20" s="42" t="s">
        <v>48</v>
      </c>
      <c r="R20" s="42" t="s">
        <v>49</v>
      </c>
      <c r="S20" s="42" t="s">
        <v>50</v>
      </c>
    </row>
    <row r="21" spans="1:29" s="38" customFormat="1" x14ac:dyDescent="0.2">
      <c r="A21" s="1">
        <v>43282</v>
      </c>
      <c r="B21" s="34">
        <v>2816.29</v>
      </c>
      <c r="C21" s="28">
        <f t="shared" si="1"/>
        <v>3.6021586465418642E-2</v>
      </c>
      <c r="D21" s="8"/>
      <c r="E21" s="36">
        <v>45.802531999999999</v>
      </c>
      <c r="F21" s="4">
        <f t="shared" si="2"/>
        <v>2.798327765660236E-2</v>
      </c>
      <c r="G21" s="8"/>
      <c r="H21" s="29">
        <f t="shared" si="0"/>
        <v>3.6021586465418642E-2</v>
      </c>
      <c r="I21" s="30">
        <f t="shared" si="3"/>
        <v>2.798327765660236E-2</v>
      </c>
      <c r="J21" s="8"/>
      <c r="K21" s="43" t="s">
        <v>38</v>
      </c>
      <c r="L21" s="43">
        <v>1.6911817097620147E-2</v>
      </c>
      <c r="M21" s="43">
        <v>8.9565282806578043E-3</v>
      </c>
      <c r="N21" s="43">
        <v>1.8882112094864143</v>
      </c>
      <c r="O21" s="43">
        <v>6.4090772249940836E-2</v>
      </c>
      <c r="P21" s="43">
        <v>-1.023321419560172E-3</v>
      </c>
      <c r="Q21" s="43">
        <v>3.4846955614800466E-2</v>
      </c>
      <c r="R21" s="43">
        <v>-1.023321419560172E-3</v>
      </c>
      <c r="S21" s="43">
        <v>3.4846955614800466E-2</v>
      </c>
    </row>
    <row r="22" spans="1:29" s="38" customFormat="1" ht="17" thickBot="1" x14ac:dyDescent="0.25">
      <c r="A22" s="1">
        <v>43313</v>
      </c>
      <c r="B22" s="34">
        <v>2901.52</v>
      </c>
      <c r="C22" s="28">
        <f t="shared" si="1"/>
        <v>3.0263218631603996E-2</v>
      </c>
      <c r="D22" s="8"/>
      <c r="E22" s="36">
        <v>54.790218000000003</v>
      </c>
      <c r="F22" s="4">
        <f t="shared" si="2"/>
        <v>0.19622683741588792</v>
      </c>
      <c r="G22" s="8"/>
      <c r="H22" s="29">
        <f t="shared" si="0"/>
        <v>3.0263218631603996E-2</v>
      </c>
      <c r="I22" s="30">
        <f t="shared" si="3"/>
        <v>0.19622683741588792</v>
      </c>
      <c r="J22" s="8"/>
      <c r="K22" s="44" t="s">
        <v>27</v>
      </c>
      <c r="L22" s="101">
        <v>1.1815877109539581</v>
      </c>
      <c r="M22" s="44">
        <v>0.19081132348562704</v>
      </c>
      <c r="N22" s="44">
        <v>6.1924402041211239</v>
      </c>
      <c r="O22" s="44">
        <v>6.9472687490302221E-8</v>
      </c>
      <c r="P22" s="44">
        <v>0.79949462643238711</v>
      </c>
      <c r="Q22" s="44">
        <v>1.5636807954755292</v>
      </c>
      <c r="R22" s="44">
        <v>0.79949462643238711</v>
      </c>
      <c r="S22" s="44">
        <v>1.5636807954755292</v>
      </c>
    </row>
    <row r="23" spans="1:29" s="38" customFormat="1" x14ac:dyDescent="0.2">
      <c r="A23" s="1">
        <v>43344</v>
      </c>
      <c r="B23" s="34">
        <v>2913.98</v>
      </c>
      <c r="C23" s="28">
        <f t="shared" si="1"/>
        <v>4.2943009181394707E-3</v>
      </c>
      <c r="D23" s="8"/>
      <c r="E23" s="36">
        <v>54.525871000000002</v>
      </c>
      <c r="F23" s="4">
        <f t="shared" si="2"/>
        <v>-4.8247115935914102E-3</v>
      </c>
      <c r="G23" s="8"/>
      <c r="H23" s="29">
        <f t="shared" si="0"/>
        <v>4.2943009181394707E-3</v>
      </c>
      <c r="I23" s="30">
        <f t="shared" si="3"/>
        <v>-4.8247115935914102E-3</v>
      </c>
      <c r="J23" s="8"/>
    </row>
    <row r="24" spans="1:29" x14ac:dyDescent="0.2">
      <c r="A24" s="1">
        <v>43374</v>
      </c>
      <c r="B24" s="34">
        <v>2711.74</v>
      </c>
      <c r="C24" s="28">
        <f t="shared" si="1"/>
        <v>-6.9403358979814631E-2</v>
      </c>
      <c r="E24" s="36">
        <v>52.864044</v>
      </c>
      <c r="F24" s="4">
        <f t="shared" si="2"/>
        <v>-3.0477770818186513E-2</v>
      </c>
      <c r="H24" s="29">
        <f t="shared" si="0"/>
        <v>-6.9403358979814631E-2</v>
      </c>
      <c r="I24" s="30">
        <f t="shared" si="3"/>
        <v>-3.0477770818186513E-2</v>
      </c>
      <c r="K24" s="151" t="s">
        <v>211</v>
      </c>
      <c r="L24" s="151"/>
      <c r="M24" s="151"/>
      <c r="N24" s="151"/>
      <c r="O24" s="151"/>
      <c r="P24" s="151"/>
      <c r="Q24" s="151"/>
      <c r="R24"/>
      <c r="S24" s="41"/>
      <c r="T24" s="38"/>
    </row>
    <row r="25" spans="1:29" ht="22" customHeight="1" x14ac:dyDescent="0.2">
      <c r="A25" s="1">
        <v>43405</v>
      </c>
      <c r="B25" s="34">
        <v>2760.17</v>
      </c>
      <c r="C25" s="28">
        <f t="shared" si="1"/>
        <v>1.7859381799140144E-2</v>
      </c>
      <c r="E25" s="36">
        <v>43.134701</v>
      </c>
      <c r="F25" s="4">
        <f t="shared" si="2"/>
        <v>-0.18404462208755729</v>
      </c>
      <c r="H25" s="29">
        <f t="shared" si="0"/>
        <v>1.7859381799140144E-2</v>
      </c>
      <c r="I25" s="30">
        <f t="shared" si="3"/>
        <v>-0.18404462208755729</v>
      </c>
      <c r="K25" s="8"/>
      <c r="R25"/>
      <c r="S25" s="41"/>
      <c r="T25" s="38"/>
    </row>
    <row r="26" spans="1:29" x14ac:dyDescent="0.2">
      <c r="A26" s="1">
        <v>43435</v>
      </c>
      <c r="B26" s="34">
        <v>2506.85</v>
      </c>
      <c r="C26" s="28">
        <f t="shared" si="1"/>
        <v>-9.1776955767217297E-2</v>
      </c>
      <c r="E26" s="36">
        <v>38.233893999999999</v>
      </c>
      <c r="F26" s="4">
        <f t="shared" si="2"/>
        <v>-0.1136163433705035</v>
      </c>
      <c r="H26" s="29">
        <f t="shared" si="0"/>
        <v>-9.1776955767217297E-2</v>
      </c>
      <c r="I26" s="30">
        <f t="shared" si="3"/>
        <v>-0.1136163433705035</v>
      </c>
      <c r="K26" s="50" t="s">
        <v>77</v>
      </c>
      <c r="L26" s="33">
        <f>_xlfn.COVARIANCE.P(I7:I65,H7:H65)/_xlfn.VAR.P(H7:H65)</f>
        <v>1.1817619411871438</v>
      </c>
      <c r="M26"/>
      <c r="N26"/>
      <c r="O26"/>
      <c r="P26"/>
      <c r="Q26"/>
      <c r="R26"/>
      <c r="S26" s="41"/>
      <c r="T26" s="38"/>
    </row>
    <row r="27" spans="1:29" x14ac:dyDescent="0.2">
      <c r="A27" s="1">
        <v>43466</v>
      </c>
      <c r="B27" s="34">
        <v>2704.1</v>
      </c>
      <c r="C27" s="28">
        <f t="shared" si="1"/>
        <v>7.8684404731036967E-2</v>
      </c>
      <c r="E27" s="36">
        <v>40.342647999999997</v>
      </c>
      <c r="F27" s="4">
        <f t="shared" si="2"/>
        <v>5.5154047348669161E-2</v>
      </c>
      <c r="H27" s="29">
        <f t="shared" si="0"/>
        <v>7.8684404731036967E-2</v>
      </c>
      <c r="I27" s="30">
        <f t="shared" si="3"/>
        <v>5.5154047348669161E-2</v>
      </c>
      <c r="K27" s="8"/>
      <c r="S27" s="38"/>
      <c r="T27" s="38"/>
      <c r="W27" s="95"/>
      <c r="X27" s="95"/>
      <c r="Y27" s="95"/>
      <c r="Z27" s="95"/>
      <c r="AA27" s="95"/>
      <c r="AB27" s="95"/>
      <c r="AC27" s="95"/>
    </row>
    <row r="28" spans="1:29" x14ac:dyDescent="0.2">
      <c r="A28" s="1">
        <v>43497</v>
      </c>
      <c r="B28" s="34">
        <v>2784.49</v>
      </c>
      <c r="C28" s="28">
        <f t="shared" si="1"/>
        <v>2.9728930143115964E-2</v>
      </c>
      <c r="E28" s="36">
        <v>41.969051</v>
      </c>
      <c r="F28" s="4">
        <f t="shared" si="2"/>
        <v>4.0314730951721452E-2</v>
      </c>
      <c r="H28" s="29">
        <f t="shared" si="0"/>
        <v>2.9728930143115964E-2</v>
      </c>
      <c r="I28" s="30">
        <f t="shared" si="3"/>
        <v>4.0314730951721452E-2</v>
      </c>
      <c r="K28" s="151" t="s">
        <v>250</v>
      </c>
      <c r="L28" s="151"/>
      <c r="M28" s="151"/>
      <c r="N28" s="151"/>
      <c r="O28" s="151"/>
      <c r="P28" s="151"/>
      <c r="Q28" s="151"/>
      <c r="S28" s="38"/>
      <c r="T28" s="38"/>
      <c r="W28" s="95"/>
      <c r="X28" s="95"/>
      <c r="Y28" s="95"/>
      <c r="Z28" s="95"/>
      <c r="AA28" s="95"/>
      <c r="AB28" s="95"/>
      <c r="AC28" s="95"/>
    </row>
    <row r="29" spans="1:29" ht="16" customHeight="1" x14ac:dyDescent="0.2">
      <c r="A29" s="1">
        <v>43525</v>
      </c>
      <c r="B29" s="34">
        <v>2834.4</v>
      </c>
      <c r="C29" s="28">
        <f t="shared" si="1"/>
        <v>1.7924287751078408E-2</v>
      </c>
      <c r="E29" s="36">
        <v>46.238598000000003</v>
      </c>
      <c r="F29" s="4">
        <f t="shared" si="2"/>
        <v>0.1017308444739435</v>
      </c>
      <c r="H29" s="29">
        <f t="shared" si="0"/>
        <v>1.7924287751078408E-2</v>
      </c>
      <c r="I29" s="30">
        <f t="shared" si="3"/>
        <v>0.1017308444739435</v>
      </c>
      <c r="K29" s="8"/>
      <c r="S29" s="38"/>
      <c r="T29" s="38"/>
      <c r="W29" s="95"/>
      <c r="X29" s="95"/>
      <c r="Y29" s="95"/>
      <c r="Z29" s="95"/>
      <c r="AA29" s="95"/>
      <c r="AB29" s="95"/>
      <c r="AC29" s="95"/>
    </row>
    <row r="30" spans="1:29" ht="17" customHeight="1" x14ac:dyDescent="0.2">
      <c r="A30" s="1">
        <v>43556</v>
      </c>
      <c r="B30" s="34">
        <v>2945.83</v>
      </c>
      <c r="C30" s="28">
        <f t="shared" si="1"/>
        <v>3.9313434942139368E-2</v>
      </c>
      <c r="E30" s="36">
        <v>48.848109999999998</v>
      </c>
      <c r="F30" s="4">
        <f t="shared" si="2"/>
        <v>5.6435794182167785E-2</v>
      </c>
      <c r="H30" s="29">
        <f t="shared" si="0"/>
        <v>3.9313434942139368E-2</v>
      </c>
      <c r="I30" s="30">
        <f t="shared" si="3"/>
        <v>5.6435794182167785E-2</v>
      </c>
      <c r="K30" s="100" t="s">
        <v>227</v>
      </c>
      <c r="L30" s="99">
        <f>'Annual return S&amp;P500, Treasury'!K36</f>
        <v>3.8690000000000002E-2</v>
      </c>
      <c r="M30" s="155" t="s">
        <v>419</v>
      </c>
      <c r="N30" s="155"/>
      <c r="O30" s="155"/>
      <c r="P30" s="155"/>
      <c r="Q30" s="155"/>
      <c r="R30" s="155"/>
      <c r="S30" s="38"/>
      <c r="T30" s="38"/>
      <c r="W30" s="95"/>
      <c r="X30" s="95"/>
      <c r="Y30" s="153"/>
      <c r="Z30" s="153"/>
      <c r="AA30" s="153"/>
      <c r="AB30" s="153"/>
      <c r="AC30" s="153"/>
    </row>
    <row r="31" spans="1:29" x14ac:dyDescent="0.2">
      <c r="A31" s="1">
        <v>43586</v>
      </c>
      <c r="B31" s="34">
        <v>2752.06</v>
      </c>
      <c r="C31" s="28">
        <f t="shared" si="1"/>
        <v>-6.5777726481161508E-2</v>
      </c>
      <c r="E31" s="36">
        <v>42.616427999999999</v>
      </c>
      <c r="F31" s="4">
        <f t="shared" si="2"/>
        <v>-0.12757263279991793</v>
      </c>
      <c r="H31" s="29">
        <f t="shared" si="0"/>
        <v>-6.5777726481161508E-2</v>
      </c>
      <c r="I31" s="30">
        <f t="shared" si="3"/>
        <v>-0.12757263279991793</v>
      </c>
      <c r="K31" s="8"/>
      <c r="M31" s="155"/>
      <c r="N31" s="155"/>
      <c r="O31" s="155"/>
      <c r="P31" s="155"/>
      <c r="Q31" s="155"/>
      <c r="R31" s="155"/>
      <c r="S31" s="38"/>
      <c r="T31" s="38"/>
      <c r="W31" s="95"/>
      <c r="X31" s="95"/>
      <c r="Y31" s="13"/>
      <c r="Z31" s="95"/>
      <c r="AA31" s="95"/>
      <c r="AB31" s="95"/>
      <c r="AC31" s="95"/>
    </row>
    <row r="32" spans="1:29" x14ac:dyDescent="0.2">
      <c r="A32" s="1">
        <v>43617</v>
      </c>
      <c r="B32" s="34">
        <v>2941.76</v>
      </c>
      <c r="C32" s="28">
        <f t="shared" si="1"/>
        <v>6.8930183208215035E-2</v>
      </c>
      <c r="E32" s="36">
        <v>48.364227</v>
      </c>
      <c r="F32" s="4">
        <f t="shared" si="2"/>
        <v>0.1348728476258029</v>
      </c>
      <c r="H32" s="29">
        <f t="shared" si="0"/>
        <v>6.8930183208215035E-2</v>
      </c>
      <c r="I32" s="30">
        <f t="shared" si="3"/>
        <v>0.1348728476258029</v>
      </c>
      <c r="K32" s="146" t="s">
        <v>421</v>
      </c>
      <c r="L32" s="146"/>
      <c r="M32" s="148"/>
      <c r="N32" s="148"/>
      <c r="O32" s="148"/>
      <c r="P32" s="86"/>
      <c r="Q32" s="87"/>
      <c r="S32" s="37"/>
      <c r="T32" s="13"/>
      <c r="W32" s="95"/>
      <c r="X32" s="95"/>
      <c r="Y32" s="154"/>
      <c r="Z32" s="96"/>
      <c r="AA32" s="97"/>
      <c r="AB32" s="95"/>
      <c r="AC32" s="95"/>
    </row>
    <row r="33" spans="1:29" ht="19" customHeight="1" x14ac:dyDescent="0.2">
      <c r="A33" s="1">
        <v>43647</v>
      </c>
      <c r="B33" s="34">
        <v>2980.38</v>
      </c>
      <c r="C33" s="28">
        <f t="shared" si="1"/>
        <v>1.312819536603934E-2</v>
      </c>
      <c r="E33" s="36">
        <v>52.058987000000002</v>
      </c>
      <c r="F33" s="4">
        <f t="shared" si="2"/>
        <v>7.6394480573420562E-2</v>
      </c>
      <c r="H33" s="29">
        <f t="shared" si="0"/>
        <v>1.312819536603934E-2</v>
      </c>
      <c r="I33" s="30">
        <f t="shared" si="3"/>
        <v>7.6394480573420562E-2</v>
      </c>
      <c r="K33" s="8"/>
      <c r="M33" s="102"/>
      <c r="N33" s="102"/>
      <c r="O33" s="102"/>
      <c r="P33" s="102"/>
      <c r="Q33" s="102"/>
      <c r="S33" s="13"/>
      <c r="T33" s="13"/>
      <c r="W33" s="95"/>
      <c r="X33" s="95"/>
      <c r="Y33" s="154"/>
      <c r="Z33" s="95"/>
      <c r="AA33" s="95"/>
      <c r="AB33" s="95"/>
      <c r="AC33" s="95"/>
    </row>
    <row r="34" spans="1:29" ht="16" customHeight="1" x14ac:dyDescent="0.2">
      <c r="A34" s="1">
        <v>43678</v>
      </c>
      <c r="B34" s="34">
        <v>2926.46</v>
      </c>
      <c r="C34" s="28">
        <f t="shared" si="1"/>
        <v>-1.8091652742267789E-2</v>
      </c>
      <c r="E34" s="36">
        <v>51.008223999999998</v>
      </c>
      <c r="F34" s="4">
        <f t="shared" si="2"/>
        <v>-2.0184084642292471E-2</v>
      </c>
      <c r="H34" s="29">
        <f t="shared" si="0"/>
        <v>-1.8091652742267789E-2</v>
      </c>
      <c r="I34" s="30">
        <f t="shared" si="3"/>
        <v>-2.0184084642292471E-2</v>
      </c>
      <c r="K34" s="100" t="s">
        <v>422</v>
      </c>
      <c r="L34" s="15">
        <f>C67</f>
        <v>1.1716306365540309E-2</v>
      </c>
      <c r="S34" s="13"/>
      <c r="T34" s="13"/>
      <c r="W34" s="95"/>
      <c r="X34" s="95"/>
      <c r="Y34" s="51"/>
      <c r="Z34" s="95"/>
      <c r="AA34" s="95"/>
      <c r="AB34" s="95"/>
      <c r="AC34" s="95"/>
    </row>
    <row r="35" spans="1:29" x14ac:dyDescent="0.2">
      <c r="A35" s="1">
        <v>43709</v>
      </c>
      <c r="B35" s="34">
        <v>2976.74</v>
      </c>
      <c r="C35" s="28">
        <f t="shared" si="1"/>
        <v>1.7181167690656883E-2</v>
      </c>
      <c r="E35" s="36">
        <v>54.937812999999998</v>
      </c>
      <c r="F35" s="4">
        <f t="shared" si="2"/>
        <v>7.7038341895612761E-2</v>
      </c>
      <c r="H35" s="29">
        <f t="shared" si="0"/>
        <v>1.7181167690656883E-2</v>
      </c>
      <c r="I35" s="30">
        <f t="shared" si="3"/>
        <v>7.7038341895612761E-2</v>
      </c>
      <c r="K35" s="51"/>
      <c r="S35" s="13"/>
      <c r="T35" s="40"/>
      <c r="U35" s="14"/>
      <c r="W35" s="95"/>
      <c r="X35" s="95"/>
      <c r="Y35" s="95"/>
      <c r="Z35" s="95"/>
      <c r="AA35" s="95"/>
      <c r="AB35" s="95"/>
      <c r="AC35" s="95"/>
    </row>
    <row r="36" spans="1:29" ht="16" customHeight="1" x14ac:dyDescent="0.2">
      <c r="A36" s="1">
        <v>43739</v>
      </c>
      <c r="B36" s="34">
        <v>3037.56</v>
      </c>
      <c r="C36" s="28">
        <f t="shared" si="1"/>
        <v>2.0431747482144953E-2</v>
      </c>
      <c r="E36" s="36">
        <v>61.018577999999998</v>
      </c>
      <c r="F36" s="4">
        <f t="shared" si="2"/>
        <v>0.11068451159495554</v>
      </c>
      <c r="H36" s="29">
        <f t="shared" si="0"/>
        <v>2.0431747482144953E-2</v>
      </c>
      <c r="I36" s="30">
        <f t="shared" si="3"/>
        <v>0.11068451159495554</v>
      </c>
      <c r="K36" s="100" t="s">
        <v>423</v>
      </c>
      <c r="L36" s="15">
        <f>L34*12</f>
        <v>0.14059567638648371</v>
      </c>
      <c r="S36" s="13"/>
      <c r="T36" s="13"/>
      <c r="U36" s="45"/>
      <c r="W36" s="95"/>
      <c r="X36" s="95"/>
      <c r="Y36" s="95"/>
      <c r="Z36" s="95"/>
      <c r="AA36" s="95"/>
      <c r="AB36" s="95"/>
      <c r="AC36" s="95"/>
    </row>
    <row r="37" spans="1:29" ht="16" customHeight="1" x14ac:dyDescent="0.2">
      <c r="A37" s="1">
        <v>43770</v>
      </c>
      <c r="B37" s="34">
        <v>3140.98</v>
      </c>
      <c r="C37" s="28">
        <f t="shared" si="1"/>
        <v>3.4047064090915104E-2</v>
      </c>
      <c r="E37" s="36">
        <v>65.554016000000004</v>
      </c>
      <c r="F37" s="4">
        <f t="shared" si="2"/>
        <v>7.4328805236988746E-2</v>
      </c>
      <c r="H37" s="29">
        <f t="shared" si="0"/>
        <v>3.4047064090915104E-2</v>
      </c>
      <c r="I37" s="30">
        <f t="shared" si="3"/>
        <v>7.4328805236988746E-2</v>
      </c>
      <c r="K37" s="38"/>
      <c r="S37" s="32"/>
      <c r="T37" s="13"/>
      <c r="W37" s="95"/>
      <c r="X37" s="95"/>
      <c r="Y37" s="95"/>
      <c r="Z37" s="95"/>
      <c r="AA37" s="95"/>
      <c r="AB37" s="95"/>
      <c r="AC37" s="95"/>
    </row>
    <row r="38" spans="1:29" ht="16" customHeight="1" x14ac:dyDescent="0.2">
      <c r="A38" s="1">
        <v>43800</v>
      </c>
      <c r="B38" s="34">
        <v>3230.78</v>
      </c>
      <c r="C38" s="28">
        <f t="shared" si="1"/>
        <v>2.8589803182446302E-2</v>
      </c>
      <c r="E38" s="36">
        <v>72.245941000000002</v>
      </c>
      <c r="F38" s="4">
        <f t="shared" si="2"/>
        <v>0.10208260924853173</v>
      </c>
      <c r="H38" s="29">
        <f t="shared" si="0"/>
        <v>2.8589803182446302E-2</v>
      </c>
      <c r="I38" s="30">
        <f t="shared" si="3"/>
        <v>0.10208260924853173</v>
      </c>
      <c r="K38" s="104" t="s">
        <v>230</v>
      </c>
      <c r="L38" s="16">
        <f>L30+L26 * (L36-L30)</f>
        <v>0.15911824994447987</v>
      </c>
      <c r="M38" s="103"/>
      <c r="S38" s="39"/>
      <c r="T38" s="32"/>
      <c r="W38" s="95"/>
      <c r="X38" s="95"/>
      <c r="Y38" s="95"/>
      <c r="Z38" s="95"/>
      <c r="AA38" s="95"/>
      <c r="AB38" s="95"/>
      <c r="AC38" s="95"/>
    </row>
    <row r="39" spans="1:29" x14ac:dyDescent="0.2">
      <c r="A39" s="1">
        <v>43831</v>
      </c>
      <c r="B39" s="34">
        <v>3225.52</v>
      </c>
      <c r="C39" s="28">
        <f t="shared" si="1"/>
        <v>-1.6280898111292685E-3</v>
      </c>
      <c r="E39" s="36">
        <v>76.147934000000006</v>
      </c>
      <c r="F39" s="4">
        <f t="shared" si="2"/>
        <v>5.4009857799485292E-2</v>
      </c>
      <c r="H39" s="29">
        <f t="shared" ref="H39:H65" si="4">C39</f>
        <v>-1.6280898111292685E-3</v>
      </c>
      <c r="I39" s="30">
        <f t="shared" si="3"/>
        <v>5.4009857799485292E-2</v>
      </c>
      <c r="K39" s="105"/>
      <c r="L39" s="16"/>
      <c r="N39" s="103"/>
      <c r="O39" s="103"/>
      <c r="S39" s="38"/>
      <c r="T39" s="38"/>
      <c r="W39" s="95"/>
      <c r="X39" s="95"/>
      <c r="Y39" s="95"/>
      <c r="Z39" s="95"/>
      <c r="AA39" s="95"/>
      <c r="AB39" s="95"/>
      <c r="AC39" s="95"/>
    </row>
    <row r="40" spans="1:29" ht="22" customHeight="1" x14ac:dyDescent="0.2">
      <c r="A40" s="1">
        <v>43862</v>
      </c>
      <c r="B40" s="34">
        <v>2954.22</v>
      </c>
      <c r="C40" s="28">
        <f t="shared" si="1"/>
        <v>-8.4110469009648109E-2</v>
      </c>
      <c r="E40" s="36">
        <v>67.254035999999999</v>
      </c>
      <c r="F40" s="4">
        <f t="shared" si="2"/>
        <v>-0.11679762710305451</v>
      </c>
      <c r="H40" s="29">
        <f t="shared" si="4"/>
        <v>-8.4110469009648109E-2</v>
      </c>
      <c r="I40" s="30">
        <f t="shared" si="3"/>
        <v>-0.11679762710305451</v>
      </c>
      <c r="K40" s="144" t="s">
        <v>229</v>
      </c>
      <c r="L40" s="145">
        <f>L38</f>
        <v>0.15911824994447987</v>
      </c>
      <c r="M40" s="16"/>
      <c r="S40" s="46"/>
      <c r="T40" s="38"/>
      <c r="W40" s="95"/>
      <c r="X40" s="150"/>
      <c r="Y40" s="32"/>
      <c r="Z40" s="149"/>
      <c r="AA40" s="149"/>
      <c r="AB40" s="149"/>
      <c r="AC40" s="149"/>
    </row>
    <row r="41" spans="1:29" x14ac:dyDescent="0.2">
      <c r="A41" s="1">
        <v>43891</v>
      </c>
      <c r="B41" s="34">
        <v>2584.59</v>
      </c>
      <c r="C41" s="28">
        <f t="shared" si="1"/>
        <v>-0.12511932083595659</v>
      </c>
      <c r="E41" s="36">
        <v>62.710785000000001</v>
      </c>
      <c r="F41" s="4">
        <f t="shared" si="2"/>
        <v>-6.7553581468329987E-2</v>
      </c>
      <c r="H41" s="29">
        <f t="shared" si="4"/>
        <v>-0.12511932083595659</v>
      </c>
      <c r="I41" s="30">
        <f t="shared" si="3"/>
        <v>-6.7553581468329987E-2</v>
      </c>
      <c r="K41" s="144"/>
      <c r="L41" s="145"/>
      <c r="S41" s="39"/>
      <c r="T41" s="46"/>
      <c r="W41" s="95"/>
      <c r="X41" s="150"/>
      <c r="Y41" s="32"/>
      <c r="Z41" s="98"/>
      <c r="AA41" s="98"/>
      <c r="AB41" s="98"/>
      <c r="AC41" s="95"/>
    </row>
    <row r="42" spans="1:29" x14ac:dyDescent="0.2">
      <c r="A42" s="1">
        <v>43922</v>
      </c>
      <c r="B42" s="34">
        <v>2912.43</v>
      </c>
      <c r="C42" s="28">
        <f t="shared" si="1"/>
        <v>0.12684410293315368</v>
      </c>
      <c r="E42" s="36">
        <v>72.454391000000001</v>
      </c>
      <c r="F42" s="4">
        <f t="shared" si="2"/>
        <v>0.15537368891172387</v>
      </c>
      <c r="H42" s="29">
        <f t="shared" si="4"/>
        <v>0.12684410293315368</v>
      </c>
      <c r="I42" s="30">
        <f t="shared" si="3"/>
        <v>0.15537368891172387</v>
      </c>
      <c r="K42" s="8"/>
      <c r="S42" s="38"/>
      <c r="T42" s="38"/>
      <c r="W42" s="95"/>
      <c r="X42" s="95"/>
      <c r="Y42" s="95"/>
      <c r="Z42" s="95"/>
      <c r="AA42" s="95"/>
      <c r="AB42" s="95"/>
      <c r="AC42" s="95"/>
    </row>
    <row r="43" spans="1:29" ht="16" customHeight="1" x14ac:dyDescent="0.2">
      <c r="A43" s="1">
        <v>43952</v>
      </c>
      <c r="B43" s="34">
        <v>3044.31</v>
      </c>
      <c r="C43" s="28">
        <f t="shared" si="1"/>
        <v>4.5281775012618368E-2</v>
      </c>
      <c r="E43" s="36">
        <v>78.407600000000002</v>
      </c>
      <c r="F43" s="4">
        <f t="shared" si="2"/>
        <v>8.2164916685311742E-2</v>
      </c>
      <c r="H43" s="29">
        <f t="shared" si="4"/>
        <v>4.5281775012618368E-2</v>
      </c>
      <c r="I43" s="30">
        <f t="shared" si="3"/>
        <v>8.2164916685311742E-2</v>
      </c>
      <c r="K43" s="47" t="s">
        <v>228</v>
      </c>
      <c r="L43" s="15">
        <f>L36</f>
        <v>0.14059567638648371</v>
      </c>
      <c r="S43" s="38"/>
      <c r="T43" s="38"/>
      <c r="W43" s="95"/>
      <c r="X43" s="95"/>
      <c r="Y43" s="95"/>
      <c r="Z43" s="95"/>
      <c r="AA43" s="95"/>
      <c r="AB43" s="95"/>
      <c r="AC43" s="95"/>
    </row>
    <row r="44" spans="1:29" ht="16" customHeight="1" x14ac:dyDescent="0.2">
      <c r="A44" s="1">
        <v>43983</v>
      </c>
      <c r="B44" s="34">
        <v>3100.29</v>
      </c>
      <c r="C44" s="28">
        <f t="shared" si="1"/>
        <v>1.838840328350267E-2</v>
      </c>
      <c r="E44" s="36">
        <v>90.207320999999993</v>
      </c>
      <c r="F44" s="4">
        <f t="shared" si="2"/>
        <v>0.15049205689244399</v>
      </c>
      <c r="H44" s="29">
        <f t="shared" si="4"/>
        <v>1.838840328350267E-2</v>
      </c>
      <c r="I44" s="30">
        <f t="shared" si="3"/>
        <v>0.15049205689244399</v>
      </c>
      <c r="K44" s="8"/>
      <c r="S44" s="38"/>
      <c r="T44" s="38"/>
      <c r="W44" s="95"/>
      <c r="X44" s="95"/>
      <c r="Y44" s="95"/>
      <c r="Z44" s="95"/>
      <c r="AA44" s="95"/>
      <c r="AB44" s="95"/>
      <c r="AC44" s="95"/>
    </row>
    <row r="45" spans="1:29" x14ac:dyDescent="0.2">
      <c r="A45" s="1">
        <v>44013</v>
      </c>
      <c r="B45" s="34">
        <v>3271.12</v>
      </c>
      <c r="C45" s="28">
        <f t="shared" si="1"/>
        <v>5.5101296975444213E-2</v>
      </c>
      <c r="E45" s="36">
        <v>105.10340100000001</v>
      </c>
      <c r="F45" s="4">
        <f t="shared" si="2"/>
        <v>0.16513160833143481</v>
      </c>
      <c r="H45" s="29">
        <f t="shared" si="4"/>
        <v>5.5101296975444213E-2</v>
      </c>
      <c r="I45" s="30">
        <f t="shared" si="3"/>
        <v>0.16513160833143481</v>
      </c>
      <c r="S45" s="38"/>
      <c r="T45" s="38"/>
      <c r="W45" s="95"/>
      <c r="X45" s="96"/>
      <c r="Y45" s="97"/>
      <c r="Z45" s="95"/>
      <c r="AA45" s="95"/>
      <c r="AB45" s="95"/>
      <c r="AC45" s="95"/>
    </row>
    <row r="46" spans="1:29" x14ac:dyDescent="0.2">
      <c r="A46" s="1">
        <v>44044</v>
      </c>
      <c r="B46" s="34">
        <v>3500.31</v>
      </c>
      <c r="C46" s="28">
        <f t="shared" si="1"/>
        <v>7.0064687324219249E-2</v>
      </c>
      <c r="E46" s="36">
        <v>127.63545999999999</v>
      </c>
      <c r="F46" s="4">
        <f t="shared" si="2"/>
        <v>0.21437992287233396</v>
      </c>
      <c r="H46" s="29">
        <f t="shared" si="4"/>
        <v>7.0064687324219249E-2</v>
      </c>
      <c r="I46" s="30">
        <f t="shared" si="3"/>
        <v>0.21437992287233396</v>
      </c>
      <c r="K46" s="52"/>
      <c r="S46" s="38"/>
      <c r="T46" s="38"/>
      <c r="W46" s="95"/>
      <c r="X46" s="95"/>
      <c r="Y46" s="95"/>
      <c r="Z46" s="95"/>
      <c r="AA46" s="95"/>
      <c r="AB46" s="95"/>
      <c r="AC46" s="95"/>
    </row>
    <row r="47" spans="1:29" x14ac:dyDescent="0.2">
      <c r="A47" s="1">
        <v>44075</v>
      </c>
      <c r="B47" s="34">
        <v>3363</v>
      </c>
      <c r="C47" s="28">
        <f t="shared" si="1"/>
        <v>-3.9227954095494386E-2</v>
      </c>
      <c r="E47" s="36">
        <v>114.75598100000001</v>
      </c>
      <c r="F47" s="4">
        <f t="shared" si="2"/>
        <v>-0.10090831341070883</v>
      </c>
      <c r="H47" s="29">
        <f t="shared" si="4"/>
        <v>-3.9227954095494386E-2</v>
      </c>
      <c r="I47" s="30">
        <f t="shared" si="3"/>
        <v>-0.10090831341070883</v>
      </c>
      <c r="S47" s="38"/>
      <c r="T47" s="38"/>
      <c r="W47" s="95"/>
      <c r="X47" s="95"/>
      <c r="Y47" s="95"/>
      <c r="Z47" s="95"/>
      <c r="AA47" s="95"/>
      <c r="AB47" s="95"/>
      <c r="AC47" s="95"/>
    </row>
    <row r="48" spans="1:29" x14ac:dyDescent="0.2">
      <c r="A48" s="1">
        <v>44105</v>
      </c>
      <c r="B48" s="34">
        <v>3269.96</v>
      </c>
      <c r="C48" s="28">
        <f t="shared" si="1"/>
        <v>-2.766577460600653E-2</v>
      </c>
      <c r="E48" s="36">
        <v>107.869247</v>
      </c>
      <c r="F48" s="4">
        <f t="shared" si="2"/>
        <v>-6.0011983166263064E-2</v>
      </c>
      <c r="H48" s="29">
        <f t="shared" si="4"/>
        <v>-2.766577460600653E-2</v>
      </c>
      <c r="I48" s="30">
        <f t="shared" si="3"/>
        <v>-6.0011983166263064E-2</v>
      </c>
      <c r="S48" s="38"/>
      <c r="T48" s="38"/>
      <c r="W48" s="95"/>
      <c r="X48" s="95"/>
      <c r="Y48" s="95"/>
      <c r="Z48" s="95"/>
      <c r="AA48" s="95"/>
      <c r="AB48" s="95"/>
      <c r="AC48" s="95"/>
    </row>
    <row r="49" spans="1:29" x14ac:dyDescent="0.2">
      <c r="A49" s="1">
        <v>44136</v>
      </c>
      <c r="B49" s="34">
        <v>3621.63</v>
      </c>
      <c r="C49" s="28">
        <f t="shared" si="1"/>
        <v>0.10754565805086302</v>
      </c>
      <c r="E49" s="36">
        <v>117.96650700000001</v>
      </c>
      <c r="F49" s="4">
        <f t="shared" si="2"/>
        <v>9.3606475254249297E-2</v>
      </c>
      <c r="H49" s="29">
        <f t="shared" si="4"/>
        <v>0.10754565805086302</v>
      </c>
      <c r="I49" s="30">
        <f t="shared" si="3"/>
        <v>9.3606475254249297E-2</v>
      </c>
      <c r="S49" s="38"/>
      <c r="T49" s="38"/>
      <c r="W49" s="95"/>
      <c r="X49" s="95"/>
      <c r="Y49" s="95"/>
      <c r="Z49" s="95"/>
      <c r="AA49" s="95"/>
      <c r="AB49" s="95"/>
      <c r="AC49" s="95"/>
    </row>
    <row r="50" spans="1:29" x14ac:dyDescent="0.2">
      <c r="A50" s="1">
        <v>44166</v>
      </c>
      <c r="B50" s="34">
        <v>3756.07</v>
      </c>
      <c r="C50" s="28">
        <f t="shared" si="1"/>
        <v>3.7121406659432372E-2</v>
      </c>
      <c r="E50" s="36">
        <v>131.70919799999999</v>
      </c>
      <c r="F50" s="4">
        <f t="shared" si="2"/>
        <v>0.1164965493129332</v>
      </c>
      <c r="H50" s="29">
        <f t="shared" si="4"/>
        <v>3.7121406659432372E-2</v>
      </c>
      <c r="I50" s="30">
        <f t="shared" si="3"/>
        <v>0.1164965493129332</v>
      </c>
      <c r="S50" s="38"/>
      <c r="T50" s="38"/>
      <c r="W50" s="95"/>
      <c r="X50" s="95"/>
      <c r="Y50" s="95"/>
      <c r="Z50" s="95"/>
      <c r="AA50" s="95"/>
      <c r="AB50" s="95"/>
      <c r="AC50" s="95"/>
    </row>
    <row r="51" spans="1:29" x14ac:dyDescent="0.2">
      <c r="A51" s="1">
        <v>44197</v>
      </c>
      <c r="B51" s="34">
        <v>3714.24</v>
      </c>
      <c r="C51" s="28">
        <f t="shared" si="1"/>
        <v>-1.1136640158463601E-2</v>
      </c>
      <c r="E51" s="36">
        <v>130.98460399999999</v>
      </c>
      <c r="F51" s="4">
        <f t="shared" si="2"/>
        <v>-5.5014684699545152E-3</v>
      </c>
      <c r="H51" s="29">
        <f t="shared" si="4"/>
        <v>-1.1136640158463601E-2</v>
      </c>
      <c r="I51" s="30">
        <f t="shared" si="3"/>
        <v>-5.5014684699545152E-3</v>
      </c>
      <c r="S51" s="38"/>
      <c r="T51" s="38"/>
      <c r="W51" s="95"/>
      <c r="X51" s="95"/>
      <c r="Y51" s="95"/>
      <c r="Z51" s="95"/>
      <c r="AA51" s="95"/>
      <c r="AB51" s="95"/>
      <c r="AC51" s="95"/>
    </row>
    <row r="52" spans="1:29" x14ac:dyDescent="0.2">
      <c r="A52" s="1">
        <v>44228</v>
      </c>
      <c r="B52" s="34">
        <v>3811.15</v>
      </c>
      <c r="C52" s="28">
        <f t="shared" si="1"/>
        <v>2.6091474971999741E-2</v>
      </c>
      <c r="E52" s="36">
        <v>120.363693</v>
      </c>
      <c r="F52" s="4">
        <f t="shared" si="2"/>
        <v>-8.1085186164321976E-2</v>
      </c>
      <c r="H52" s="29">
        <f t="shared" si="4"/>
        <v>2.6091474971999741E-2</v>
      </c>
      <c r="I52" s="30">
        <f t="shared" si="3"/>
        <v>-8.1085186164321976E-2</v>
      </c>
      <c r="S52" s="38"/>
      <c r="T52" s="38"/>
      <c r="W52" s="95"/>
      <c r="X52" s="96"/>
      <c r="Y52" s="97"/>
      <c r="Z52" s="95"/>
      <c r="AA52" s="95"/>
      <c r="AB52" s="95"/>
      <c r="AC52" s="95"/>
    </row>
    <row r="53" spans="1:29" x14ac:dyDescent="0.2">
      <c r="A53" s="1">
        <v>44256</v>
      </c>
      <c r="B53" s="34">
        <v>3972.89</v>
      </c>
      <c r="C53" s="28">
        <f t="shared" si="1"/>
        <v>4.2438634008107733E-2</v>
      </c>
      <c r="E53" s="36">
        <v>121.428291</v>
      </c>
      <c r="F53" s="4">
        <f t="shared" si="2"/>
        <v>8.8448432701379778E-3</v>
      </c>
      <c r="H53" s="29">
        <f t="shared" si="4"/>
        <v>4.2438634008107733E-2</v>
      </c>
      <c r="I53" s="30">
        <f t="shared" si="3"/>
        <v>8.8448432701379778E-3</v>
      </c>
      <c r="K53" s="52"/>
      <c r="S53" s="38"/>
      <c r="T53" s="38"/>
      <c r="W53" s="95"/>
      <c r="X53" s="95"/>
      <c r="Y53" s="95"/>
      <c r="Z53" s="95"/>
      <c r="AA53" s="95"/>
      <c r="AB53" s="95"/>
      <c r="AC53" s="95"/>
    </row>
    <row r="54" spans="1:29" x14ac:dyDescent="0.2">
      <c r="A54" s="1">
        <v>44287</v>
      </c>
      <c r="B54" s="34">
        <v>4181.17</v>
      </c>
      <c r="C54" s="28">
        <f t="shared" si="1"/>
        <v>5.2425312555847307E-2</v>
      </c>
      <c r="E54" s="36">
        <v>130.683289</v>
      </c>
      <c r="F54" s="4">
        <f t="shared" si="2"/>
        <v>7.6217806606534558E-2</v>
      </c>
      <c r="H54" s="29">
        <f t="shared" si="4"/>
        <v>5.2425312555847307E-2</v>
      </c>
      <c r="I54" s="30">
        <f t="shared" si="3"/>
        <v>7.6217806606534558E-2</v>
      </c>
      <c r="S54" s="38"/>
      <c r="T54" s="38"/>
      <c r="W54" s="95"/>
      <c r="X54" s="95"/>
      <c r="Y54" s="95"/>
      <c r="Z54" s="95"/>
      <c r="AA54" s="95"/>
      <c r="AB54" s="95"/>
      <c r="AC54" s="95"/>
    </row>
    <row r="55" spans="1:29" x14ac:dyDescent="0.2">
      <c r="A55" s="1">
        <v>44317</v>
      </c>
      <c r="B55" s="34">
        <v>4204.1099999999997</v>
      </c>
      <c r="C55" s="28">
        <f t="shared" si="1"/>
        <v>5.4865025818131288E-3</v>
      </c>
      <c r="E55" s="36">
        <v>123.873756</v>
      </c>
      <c r="F55" s="4">
        <f t="shared" si="2"/>
        <v>-5.2107144318964925E-2</v>
      </c>
      <c r="H55" s="29">
        <f t="shared" si="4"/>
        <v>5.4865025818131288E-3</v>
      </c>
      <c r="I55" s="30">
        <f t="shared" si="3"/>
        <v>-5.2107144318964925E-2</v>
      </c>
    </row>
    <row r="56" spans="1:29" x14ac:dyDescent="0.2">
      <c r="A56" s="1">
        <v>44348</v>
      </c>
      <c r="B56" s="34">
        <v>4297.5</v>
      </c>
      <c r="C56" s="28">
        <f t="shared" si="1"/>
        <v>2.221397632316955E-2</v>
      </c>
      <c r="E56" s="36">
        <v>136.38204999999999</v>
      </c>
      <c r="F56" s="4">
        <f t="shared" si="2"/>
        <v>0.1009761421943159</v>
      </c>
      <c r="H56" s="29">
        <f t="shared" si="4"/>
        <v>2.221397632316955E-2</v>
      </c>
      <c r="I56" s="30">
        <f t="shared" si="3"/>
        <v>0.1009761421943159</v>
      </c>
    </row>
    <row r="57" spans="1:29" x14ac:dyDescent="0.2">
      <c r="A57" s="1">
        <v>44378</v>
      </c>
      <c r="B57" s="34">
        <v>4395.26</v>
      </c>
      <c r="C57" s="28">
        <f t="shared" si="1"/>
        <v>2.2748109365910464E-2</v>
      </c>
      <c r="E57" s="36">
        <v>145.24447599999999</v>
      </c>
      <c r="F57" s="4">
        <f t="shared" si="2"/>
        <v>6.4982349216777424E-2</v>
      </c>
      <c r="H57" s="29">
        <f t="shared" si="4"/>
        <v>2.2748109365910464E-2</v>
      </c>
      <c r="I57" s="30">
        <f t="shared" si="3"/>
        <v>6.4982349216777424E-2</v>
      </c>
    </row>
    <row r="58" spans="1:29" x14ac:dyDescent="0.2">
      <c r="A58" s="1">
        <v>44409</v>
      </c>
      <c r="B58" s="34">
        <v>4522.68</v>
      </c>
      <c r="C58" s="28">
        <f t="shared" si="1"/>
        <v>2.8990321391681052E-2</v>
      </c>
      <c r="E58" s="36">
        <v>151.189301</v>
      </c>
      <c r="F58" s="4">
        <f t="shared" si="2"/>
        <v>4.0929783794324881E-2</v>
      </c>
      <c r="H58" s="29">
        <f t="shared" si="4"/>
        <v>2.8990321391681052E-2</v>
      </c>
      <c r="I58" s="30">
        <f t="shared" si="3"/>
        <v>4.0929783794324881E-2</v>
      </c>
    </row>
    <row r="59" spans="1:29" x14ac:dyDescent="0.2">
      <c r="A59" s="1">
        <v>44440</v>
      </c>
      <c r="B59" s="34">
        <v>4307.54</v>
      </c>
      <c r="C59" s="28">
        <f t="shared" si="1"/>
        <v>-4.7569140421166278E-2</v>
      </c>
      <c r="E59" s="36">
        <v>141.11399800000001</v>
      </c>
      <c r="F59" s="4">
        <f t="shared" si="2"/>
        <v>-6.6640317359493523E-2</v>
      </c>
      <c r="H59" s="29">
        <f t="shared" si="4"/>
        <v>-4.7569140421166278E-2</v>
      </c>
      <c r="I59" s="30">
        <f t="shared" si="3"/>
        <v>-6.6640317359493523E-2</v>
      </c>
    </row>
    <row r="60" spans="1:29" x14ac:dyDescent="0.2">
      <c r="A60" s="1">
        <v>44470</v>
      </c>
      <c r="B60" s="34">
        <v>4605.38</v>
      </c>
      <c r="C60" s="28">
        <f t="shared" si="1"/>
        <v>6.9143873301234615E-2</v>
      </c>
      <c r="E60" s="36">
        <v>149.391357</v>
      </c>
      <c r="F60" s="4">
        <f t="shared" si="2"/>
        <v>5.8657249580583701E-2</v>
      </c>
      <c r="H60" s="29">
        <f t="shared" si="4"/>
        <v>6.9143873301234615E-2</v>
      </c>
      <c r="I60" s="30">
        <f t="shared" si="3"/>
        <v>5.8657249580583701E-2</v>
      </c>
    </row>
    <row r="61" spans="1:29" x14ac:dyDescent="0.2">
      <c r="A61" s="1">
        <v>44501</v>
      </c>
      <c r="B61" s="34">
        <v>4567</v>
      </c>
      <c r="C61" s="28">
        <f t="shared" si="1"/>
        <v>-8.3337314184714628E-3</v>
      </c>
      <c r="E61" s="36">
        <v>164.84909099999999</v>
      </c>
      <c r="F61" s="4">
        <f t="shared" si="2"/>
        <v>0.10347140765312138</v>
      </c>
      <c r="H61" s="29">
        <f t="shared" si="4"/>
        <v>-8.3337314184714628E-3</v>
      </c>
      <c r="I61" s="30">
        <f t="shared" si="3"/>
        <v>0.10347140765312138</v>
      </c>
    </row>
    <row r="62" spans="1:29" x14ac:dyDescent="0.2">
      <c r="A62" s="1">
        <v>44531</v>
      </c>
      <c r="B62" s="34">
        <v>4766.18</v>
      </c>
      <c r="C62" s="28">
        <f t="shared" si="1"/>
        <v>4.3612874972629799E-2</v>
      </c>
      <c r="E62" s="36">
        <v>177.344055</v>
      </c>
      <c r="F62" s="4">
        <f t="shared" si="2"/>
        <v>7.5796377912693558E-2</v>
      </c>
      <c r="H62" s="29">
        <f t="shared" si="4"/>
        <v>4.3612874972629799E-2</v>
      </c>
      <c r="I62" s="30">
        <f t="shared" si="3"/>
        <v>7.5796377912693558E-2</v>
      </c>
    </row>
    <row r="63" spans="1:29" x14ac:dyDescent="0.2">
      <c r="A63" s="1">
        <v>44562</v>
      </c>
      <c r="B63" s="34">
        <v>4515.55</v>
      </c>
      <c r="C63" s="28">
        <f t="shared" si="1"/>
        <v>-5.2585089106999758E-2</v>
      </c>
      <c r="E63" s="36">
        <v>174.557602</v>
      </c>
      <c r="F63" s="4">
        <f t="shared" si="2"/>
        <v>-1.5712130863366095E-2</v>
      </c>
      <c r="H63" s="29">
        <f t="shared" si="4"/>
        <v>-5.2585089106999758E-2</v>
      </c>
      <c r="I63" s="30">
        <f t="shared" si="3"/>
        <v>-1.5712130863366095E-2</v>
      </c>
    </row>
    <row r="64" spans="1:29" x14ac:dyDescent="0.2">
      <c r="A64" s="1">
        <v>44593</v>
      </c>
      <c r="B64" s="34">
        <v>4373.9399999999996</v>
      </c>
      <c r="C64" s="28">
        <f t="shared" si="1"/>
        <v>-3.136052086678269E-2</v>
      </c>
      <c r="E64" s="36">
        <v>164.909897</v>
      </c>
      <c r="F64" s="4">
        <f t="shared" si="2"/>
        <v>-5.5269463429040475E-2</v>
      </c>
      <c r="H64" s="29">
        <f t="shared" si="4"/>
        <v>-3.136052086678269E-2</v>
      </c>
      <c r="I64" s="30">
        <f t="shared" si="3"/>
        <v>-5.5269463429040475E-2</v>
      </c>
    </row>
    <row r="65" spans="1:9" x14ac:dyDescent="0.2">
      <c r="A65" s="1">
        <v>44621</v>
      </c>
      <c r="B65" s="35">
        <v>4461.18</v>
      </c>
      <c r="C65" s="28">
        <f t="shared" si="1"/>
        <v>1.9945403915005853E-2</v>
      </c>
      <c r="E65" s="36">
        <v>165.38000500000001</v>
      </c>
      <c r="F65" s="4">
        <f t="shared" si="2"/>
        <v>2.8506960986095964E-3</v>
      </c>
      <c r="H65" s="29">
        <f t="shared" si="4"/>
        <v>1.9945403915005853E-2</v>
      </c>
      <c r="I65" s="30">
        <f t="shared" si="3"/>
        <v>2.8506960986095964E-3</v>
      </c>
    </row>
    <row r="66" spans="1:9" x14ac:dyDescent="0.2">
      <c r="E66" s="31"/>
      <c r="F66" s="2"/>
    </row>
    <row r="67" spans="1:9" x14ac:dyDescent="0.2">
      <c r="A67" s="158" t="s">
        <v>51</v>
      </c>
      <c r="B67" s="158"/>
      <c r="C67" s="3">
        <f>AVERAGE(C7:C65)</f>
        <v>1.1716306365540309E-2</v>
      </c>
      <c r="E67" s="12" t="s">
        <v>51</v>
      </c>
      <c r="F67" s="3">
        <f>AVERAGE(F7:F65)</f>
        <v>3.0764543373303869E-2</v>
      </c>
    </row>
    <row r="68" spans="1:9" x14ac:dyDescent="0.2">
      <c r="A68" s="158" t="s">
        <v>52</v>
      </c>
      <c r="B68" s="158"/>
      <c r="C68" s="4">
        <f>_xlfn.STDEV.S(C7:C65)</f>
        <v>4.5840243197650933E-2</v>
      </c>
      <c r="E68" s="12" t="s">
        <v>52</v>
      </c>
      <c r="F68" s="4">
        <f>_xlfn.STDEV.S(F7:F65)</f>
        <v>8.5411503143916587E-2</v>
      </c>
    </row>
    <row r="70" spans="1:9" x14ac:dyDescent="0.2">
      <c r="A70" s="156" t="s">
        <v>226</v>
      </c>
      <c r="B70" s="156"/>
      <c r="C70" s="157">
        <f>C67*12</f>
        <v>0.14059567638648371</v>
      </c>
    </row>
    <row r="71" spans="1:9" x14ac:dyDescent="0.2">
      <c r="A71" s="156"/>
      <c r="B71" s="156"/>
      <c r="C71" s="157"/>
    </row>
    <row r="73" spans="1:9" ht="16" customHeight="1" x14ac:dyDescent="0.2">
      <c r="C73" s="14"/>
    </row>
  </sheetData>
  <sortState xmlns:xlrd2="http://schemas.microsoft.com/office/spreadsheetml/2017/richdata2" ref="A6:C65">
    <sortCondition ref="A6:A65"/>
  </sortState>
  <mergeCells count="20">
    <mergeCell ref="A70:B71"/>
    <mergeCell ref="C70:C71"/>
    <mergeCell ref="A67:B67"/>
    <mergeCell ref="A68:B68"/>
    <mergeCell ref="E3:F3"/>
    <mergeCell ref="A3:C3"/>
    <mergeCell ref="Z40:AC40"/>
    <mergeCell ref="X40:X41"/>
    <mergeCell ref="K28:Q28"/>
    <mergeCell ref="K3:S3"/>
    <mergeCell ref="K24:Q24"/>
    <mergeCell ref="Y30:AC30"/>
    <mergeCell ref="Y32:Y33"/>
    <mergeCell ref="M30:R31"/>
    <mergeCell ref="A1:Q1"/>
    <mergeCell ref="K40:K41"/>
    <mergeCell ref="L40:L41"/>
    <mergeCell ref="K32:L32"/>
    <mergeCell ref="H3:I3"/>
    <mergeCell ref="M32:O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504D9-218A-CE48-9949-59C21C90FFAC}">
  <dimension ref="A1:P97"/>
  <sheetViews>
    <sheetView zoomScale="120" zoomScaleNormal="120" workbookViewId="0">
      <selection activeCell="E46" sqref="E46"/>
    </sheetView>
  </sheetViews>
  <sheetFormatPr baseColWidth="10" defaultRowHeight="16" x14ac:dyDescent="0.2"/>
  <cols>
    <col min="1" max="1" width="18.33203125" style="2" customWidth="1"/>
    <col min="2" max="2" width="11.5" style="22" bestFit="1" customWidth="1"/>
    <col min="3" max="3" width="11.5" style="22" customWidth="1"/>
    <col min="4" max="4" width="14.83203125" style="22" bestFit="1" customWidth="1"/>
    <col min="5" max="5" width="14" style="22" bestFit="1" customWidth="1"/>
    <col min="6" max="6" width="13.33203125" style="22" bestFit="1" customWidth="1"/>
    <col min="7" max="7" width="16.6640625" style="22" customWidth="1"/>
    <col min="8" max="8" width="16.5" style="9" customWidth="1"/>
    <col min="9" max="9" width="3.6640625" style="8" customWidth="1"/>
    <col min="10" max="16" width="14.83203125" style="8" customWidth="1"/>
    <col min="17" max="16384" width="10.83203125" style="8"/>
  </cols>
  <sheetData>
    <row r="1" spans="1:16" x14ac:dyDescent="0.2">
      <c r="A1" s="164" t="s">
        <v>240</v>
      </c>
      <c r="B1" s="164"/>
      <c r="C1" s="164"/>
      <c r="D1" s="164"/>
      <c r="E1" s="164"/>
      <c r="F1" s="164"/>
      <c r="G1" s="164"/>
      <c r="H1" s="164"/>
      <c r="J1" s="165" t="s">
        <v>241</v>
      </c>
      <c r="K1" s="165"/>
      <c r="L1" s="165"/>
      <c r="M1" s="165"/>
      <c r="N1" s="165"/>
      <c r="O1" s="165"/>
      <c r="P1" s="165"/>
    </row>
    <row r="2" spans="1:16" x14ac:dyDescent="0.2">
      <c r="A2" s="26"/>
      <c r="B2" s="26"/>
      <c r="C2" s="26"/>
      <c r="D2" s="26"/>
      <c r="E2" s="26"/>
      <c r="F2" s="26"/>
      <c r="G2" s="26"/>
      <c r="H2" s="26"/>
      <c r="J2" s="21"/>
      <c r="K2" s="21"/>
      <c r="L2" s="21"/>
      <c r="M2" s="21"/>
      <c r="N2" s="21"/>
      <c r="O2" s="21"/>
      <c r="P2" s="21"/>
    </row>
    <row r="3" spans="1:16" x14ac:dyDescent="0.2">
      <c r="A3" s="166" t="s">
        <v>17</v>
      </c>
      <c r="B3" s="48" t="s">
        <v>18</v>
      </c>
      <c r="C3" s="167" t="s">
        <v>420</v>
      </c>
      <c r="D3" s="167" t="s">
        <v>20</v>
      </c>
      <c r="E3" s="167" t="s">
        <v>21</v>
      </c>
      <c r="F3" s="167" t="s">
        <v>22</v>
      </c>
      <c r="G3" s="167" t="s">
        <v>23</v>
      </c>
      <c r="H3" s="171" t="s">
        <v>209</v>
      </c>
      <c r="I3" s="49"/>
      <c r="J3" s="166" t="s">
        <v>17</v>
      </c>
      <c r="K3" s="166" t="s">
        <v>24</v>
      </c>
      <c r="L3" s="166" t="s">
        <v>20</v>
      </c>
      <c r="M3" s="166" t="s">
        <v>21</v>
      </c>
      <c r="N3" s="166" t="s">
        <v>22</v>
      </c>
      <c r="O3" s="166" t="s">
        <v>23</v>
      </c>
      <c r="P3" s="168" t="s">
        <v>209</v>
      </c>
    </row>
    <row r="4" spans="1:16" x14ac:dyDescent="0.2">
      <c r="A4" s="166"/>
      <c r="B4" s="48" t="s">
        <v>19</v>
      </c>
      <c r="C4" s="167"/>
      <c r="D4" s="167"/>
      <c r="E4" s="167"/>
      <c r="F4" s="167"/>
      <c r="G4" s="167"/>
      <c r="H4" s="171"/>
      <c r="I4" s="49"/>
      <c r="J4" s="166"/>
      <c r="K4" s="166"/>
      <c r="L4" s="166"/>
      <c r="M4" s="166"/>
      <c r="N4" s="166"/>
      <c r="O4" s="166"/>
      <c r="P4" s="168"/>
    </row>
    <row r="5" spans="1:16" x14ac:dyDescent="0.2">
      <c r="A5" s="17">
        <v>1993</v>
      </c>
      <c r="B5" s="27">
        <v>451.61</v>
      </c>
      <c r="C5" s="167"/>
      <c r="D5" s="27">
        <v>435.38</v>
      </c>
      <c r="E5" s="27">
        <v>470.94</v>
      </c>
      <c r="F5" s="27">
        <v>429.05</v>
      </c>
      <c r="G5" s="27">
        <v>466.45</v>
      </c>
      <c r="H5" s="20">
        <v>7.0599999999999996E-2</v>
      </c>
      <c r="J5" s="17">
        <v>1993</v>
      </c>
      <c r="K5" s="106">
        <v>5.8700000000000002E-2</v>
      </c>
      <c r="L5" s="18">
        <v>6.6000000000000003E-2</v>
      </c>
      <c r="M5" s="18">
        <v>6.7599999999999993E-2</v>
      </c>
      <c r="N5" s="18">
        <v>5.1900000000000002E-2</v>
      </c>
      <c r="O5" s="18">
        <v>5.8299999999999998E-2</v>
      </c>
      <c r="P5" s="19">
        <v>-0.12989999999999999</v>
      </c>
    </row>
    <row r="6" spans="1:16" x14ac:dyDescent="0.2">
      <c r="A6" s="17">
        <v>1994</v>
      </c>
      <c r="B6" s="27">
        <v>460.42</v>
      </c>
      <c r="C6" s="119">
        <f>(B6-B5)/B5</f>
        <v>1.9507982551316406E-2</v>
      </c>
      <c r="D6" s="27">
        <v>465.44</v>
      </c>
      <c r="E6" s="27">
        <v>482</v>
      </c>
      <c r="F6" s="27">
        <v>438.92</v>
      </c>
      <c r="G6" s="27">
        <v>459.27</v>
      </c>
      <c r="H6" s="19">
        <v>-1.54E-2</v>
      </c>
      <c r="J6" s="17">
        <v>1994</v>
      </c>
      <c r="K6" s="106">
        <v>7.0900000000000005E-2</v>
      </c>
      <c r="L6" s="18">
        <v>5.9200000000000003E-2</v>
      </c>
      <c r="M6" s="18">
        <v>8.0500000000000002E-2</v>
      </c>
      <c r="N6" s="18">
        <v>5.6000000000000001E-2</v>
      </c>
      <c r="O6" s="18">
        <v>7.8399999999999997E-2</v>
      </c>
      <c r="P6" s="20">
        <v>0.3448</v>
      </c>
    </row>
    <row r="7" spans="1:16" x14ac:dyDescent="0.2">
      <c r="A7" s="17">
        <v>1995</v>
      </c>
      <c r="B7" s="27">
        <v>541.72</v>
      </c>
      <c r="C7" s="119">
        <f>(B7-B6)/B6</f>
        <v>0.1765779071282742</v>
      </c>
      <c r="D7" s="27">
        <v>459.11</v>
      </c>
      <c r="E7" s="27">
        <v>621.69000000000005</v>
      </c>
      <c r="F7" s="27">
        <v>459.11</v>
      </c>
      <c r="G7" s="27">
        <v>615.92999999999995</v>
      </c>
      <c r="H7" s="20">
        <v>0.34110000000000001</v>
      </c>
      <c r="J7" s="17">
        <v>1995</v>
      </c>
      <c r="K7" s="106">
        <v>6.5699999999999995E-2</v>
      </c>
      <c r="L7" s="18">
        <v>7.8799999999999995E-2</v>
      </c>
      <c r="M7" s="18">
        <v>7.8899999999999998E-2</v>
      </c>
      <c r="N7" s="18">
        <v>5.5800000000000002E-2</v>
      </c>
      <c r="O7" s="18">
        <v>5.5800000000000002E-2</v>
      </c>
      <c r="P7" s="19">
        <v>-0.2883</v>
      </c>
    </row>
    <row r="8" spans="1:16" x14ac:dyDescent="0.2">
      <c r="A8" s="17">
        <v>1996</v>
      </c>
      <c r="B8" s="27">
        <v>670.49</v>
      </c>
      <c r="C8" s="119">
        <f t="shared" ref="C8:C34" si="0">(B8-B7)/B7</f>
        <v>0.23770582588791253</v>
      </c>
      <c r="D8" s="27">
        <v>620.73</v>
      </c>
      <c r="E8" s="27">
        <v>757.03</v>
      </c>
      <c r="F8" s="27">
        <v>598.48</v>
      </c>
      <c r="G8" s="27">
        <v>740.74</v>
      </c>
      <c r="H8" s="20">
        <v>0.2026</v>
      </c>
      <c r="J8" s="17">
        <v>1996</v>
      </c>
      <c r="K8" s="106">
        <v>6.4399999999999999E-2</v>
      </c>
      <c r="L8" s="18">
        <v>5.6000000000000001E-2</v>
      </c>
      <c r="M8" s="18">
        <v>7.0599999999999996E-2</v>
      </c>
      <c r="N8" s="18">
        <v>5.5300000000000002E-2</v>
      </c>
      <c r="O8" s="18">
        <v>6.4299999999999996E-2</v>
      </c>
      <c r="P8" s="20">
        <v>0.15229999999999999</v>
      </c>
    </row>
    <row r="9" spans="1:16" x14ac:dyDescent="0.2">
      <c r="A9" s="17">
        <v>1997</v>
      </c>
      <c r="B9" s="27">
        <v>873.43</v>
      </c>
      <c r="C9" s="119">
        <f t="shared" si="0"/>
        <v>0.30267416367134475</v>
      </c>
      <c r="D9" s="27">
        <v>737.01</v>
      </c>
      <c r="E9" s="27">
        <v>983.79</v>
      </c>
      <c r="F9" s="27">
        <v>737.01</v>
      </c>
      <c r="G9" s="27">
        <v>970.43</v>
      </c>
      <c r="H9" s="20">
        <v>0.31009999999999999</v>
      </c>
      <c r="J9" s="17">
        <v>1997</v>
      </c>
      <c r="K9" s="106">
        <v>6.3500000000000001E-2</v>
      </c>
      <c r="L9" s="18">
        <v>6.54E-2</v>
      </c>
      <c r="M9" s="18">
        <v>6.9800000000000001E-2</v>
      </c>
      <c r="N9" s="18">
        <v>5.7200000000000001E-2</v>
      </c>
      <c r="O9" s="18">
        <v>5.7500000000000002E-2</v>
      </c>
      <c r="P9" s="19">
        <v>-0.10580000000000001</v>
      </c>
    </row>
    <row r="10" spans="1:16" x14ac:dyDescent="0.2">
      <c r="A10" s="17">
        <v>1998</v>
      </c>
      <c r="B10" s="27">
        <v>1085.5</v>
      </c>
      <c r="C10" s="119">
        <f t="shared" si="0"/>
        <v>0.24280136931408364</v>
      </c>
      <c r="D10" s="27">
        <v>975.04</v>
      </c>
      <c r="E10" s="27">
        <v>1241.81</v>
      </c>
      <c r="F10" s="27">
        <v>927.69</v>
      </c>
      <c r="G10" s="27">
        <v>1229.23</v>
      </c>
      <c r="H10" s="20">
        <v>0.26669999999999999</v>
      </c>
      <c r="J10" s="17">
        <v>1998</v>
      </c>
      <c r="K10" s="106">
        <v>5.2600000000000001E-2</v>
      </c>
      <c r="L10" s="18">
        <v>5.67E-2</v>
      </c>
      <c r="M10" s="18">
        <v>5.8099999999999999E-2</v>
      </c>
      <c r="N10" s="18">
        <v>4.1599999999999998E-2</v>
      </c>
      <c r="O10" s="18">
        <v>4.65E-2</v>
      </c>
      <c r="P10" s="19">
        <v>-0.1913</v>
      </c>
    </row>
    <row r="11" spans="1:16" x14ac:dyDescent="0.2">
      <c r="A11" s="17">
        <v>1999</v>
      </c>
      <c r="B11" s="27">
        <v>1327.33</v>
      </c>
      <c r="C11" s="119">
        <f t="shared" si="0"/>
        <v>0.22278212805158906</v>
      </c>
      <c r="D11" s="27">
        <v>1228.0999999999999</v>
      </c>
      <c r="E11" s="27">
        <v>1469.25</v>
      </c>
      <c r="F11" s="27">
        <v>1212.19</v>
      </c>
      <c r="G11" s="27">
        <v>1469.25</v>
      </c>
      <c r="H11" s="20">
        <v>0.1953</v>
      </c>
      <c r="J11" s="17">
        <v>1999</v>
      </c>
      <c r="K11" s="106">
        <v>5.6500000000000002E-2</v>
      </c>
      <c r="L11" s="18">
        <v>4.6899999999999997E-2</v>
      </c>
      <c r="M11" s="18">
        <v>6.4500000000000002E-2</v>
      </c>
      <c r="N11" s="18">
        <v>4.6300000000000001E-2</v>
      </c>
      <c r="O11" s="18">
        <v>6.4500000000000002E-2</v>
      </c>
      <c r="P11" s="20">
        <v>0.3871</v>
      </c>
    </row>
    <row r="12" spans="1:16" x14ac:dyDescent="0.2">
      <c r="A12" s="17">
        <v>2000</v>
      </c>
      <c r="B12" s="27">
        <v>1427.22</v>
      </c>
      <c r="C12" s="119">
        <f t="shared" si="0"/>
        <v>7.5256341678407113E-2</v>
      </c>
      <c r="D12" s="27">
        <v>1455.22</v>
      </c>
      <c r="E12" s="27">
        <v>1527.46</v>
      </c>
      <c r="F12" s="27">
        <v>1264.74</v>
      </c>
      <c r="G12" s="27">
        <v>1320.28</v>
      </c>
      <c r="H12" s="19">
        <v>-0.1014</v>
      </c>
      <c r="J12" s="17">
        <v>2000</v>
      </c>
      <c r="K12" s="106">
        <v>6.0299999999999999E-2</v>
      </c>
      <c r="L12" s="18">
        <v>6.5799999999999997E-2</v>
      </c>
      <c r="M12" s="18">
        <v>6.7900000000000002E-2</v>
      </c>
      <c r="N12" s="18">
        <v>5.0200000000000002E-2</v>
      </c>
      <c r="O12" s="18">
        <v>5.1200000000000002E-2</v>
      </c>
      <c r="P12" s="19">
        <v>-0.20619999999999999</v>
      </c>
    </row>
    <row r="13" spans="1:16" x14ac:dyDescent="0.2">
      <c r="A13" s="17">
        <v>2001</v>
      </c>
      <c r="B13" s="27">
        <v>1192.57</v>
      </c>
      <c r="C13" s="119">
        <f t="shared" si="0"/>
        <v>-0.16441053236361605</v>
      </c>
      <c r="D13" s="27">
        <v>1283.27</v>
      </c>
      <c r="E13" s="27">
        <v>1373.73</v>
      </c>
      <c r="F13" s="27">
        <v>965.8</v>
      </c>
      <c r="G13" s="27">
        <v>1148.08</v>
      </c>
      <c r="H13" s="19">
        <v>-0.13039999999999999</v>
      </c>
      <c r="J13" s="17">
        <v>2001</v>
      </c>
      <c r="K13" s="106">
        <v>5.0200000000000002E-2</v>
      </c>
      <c r="L13" s="18">
        <v>4.9200000000000001E-2</v>
      </c>
      <c r="M13" s="18">
        <v>5.5399999999999998E-2</v>
      </c>
      <c r="N13" s="18">
        <v>4.2200000000000001E-2</v>
      </c>
      <c r="O13" s="18">
        <v>5.0700000000000002E-2</v>
      </c>
      <c r="P13" s="19">
        <v>-9.7999999999999997E-3</v>
      </c>
    </row>
    <row r="14" spans="1:16" x14ac:dyDescent="0.2">
      <c r="A14" s="17">
        <v>2002</v>
      </c>
      <c r="B14" s="27">
        <v>993.93</v>
      </c>
      <c r="C14" s="119">
        <f t="shared" si="0"/>
        <v>-0.16656464610043856</v>
      </c>
      <c r="D14" s="27">
        <v>1154.67</v>
      </c>
      <c r="E14" s="27">
        <v>1172.51</v>
      </c>
      <c r="F14" s="27">
        <v>776.76</v>
      </c>
      <c r="G14" s="27">
        <v>879.82</v>
      </c>
      <c r="H14" s="19">
        <v>-0.23369999999999999</v>
      </c>
      <c r="J14" s="17">
        <v>2002</v>
      </c>
      <c r="K14" s="106">
        <v>4.6100000000000002E-2</v>
      </c>
      <c r="L14" s="18">
        <v>5.1999999999999998E-2</v>
      </c>
      <c r="M14" s="18">
        <v>5.4399999999999997E-2</v>
      </c>
      <c r="N14" s="18">
        <v>3.61E-2</v>
      </c>
      <c r="O14" s="18">
        <v>3.8300000000000001E-2</v>
      </c>
      <c r="P14" s="19">
        <v>-0.24460000000000001</v>
      </c>
    </row>
    <row r="15" spans="1:16" x14ac:dyDescent="0.2">
      <c r="A15" s="17">
        <v>2003</v>
      </c>
      <c r="B15" s="27">
        <v>965.23</v>
      </c>
      <c r="C15" s="119">
        <f t="shared" si="0"/>
        <v>-2.8875272906542647E-2</v>
      </c>
      <c r="D15" s="27">
        <v>909.03</v>
      </c>
      <c r="E15" s="27">
        <v>1111.92</v>
      </c>
      <c r="F15" s="27">
        <v>800.73</v>
      </c>
      <c r="G15" s="27">
        <v>1111.92</v>
      </c>
      <c r="H15" s="20">
        <v>0.26379999999999998</v>
      </c>
      <c r="J15" s="17">
        <v>2003</v>
      </c>
      <c r="K15" s="106">
        <v>4.0099999999999997E-2</v>
      </c>
      <c r="L15" s="18">
        <v>4.07E-2</v>
      </c>
      <c r="M15" s="18">
        <v>4.6100000000000002E-2</v>
      </c>
      <c r="N15" s="18">
        <v>3.1300000000000001E-2</v>
      </c>
      <c r="O15" s="18">
        <v>4.2700000000000002E-2</v>
      </c>
      <c r="P15" s="20">
        <v>0.1149</v>
      </c>
    </row>
    <row r="16" spans="1:16" x14ac:dyDescent="0.2">
      <c r="A16" s="17">
        <v>2004</v>
      </c>
      <c r="B16" s="27">
        <v>1130.6500000000001</v>
      </c>
      <c r="C16" s="119">
        <f t="shared" si="0"/>
        <v>0.17137884234845588</v>
      </c>
      <c r="D16" s="27">
        <v>1108.48</v>
      </c>
      <c r="E16" s="27">
        <v>1213.55</v>
      </c>
      <c r="F16" s="27">
        <v>1063.23</v>
      </c>
      <c r="G16" s="27">
        <v>1211.92</v>
      </c>
      <c r="H16" s="20">
        <v>8.9899999999999994E-2</v>
      </c>
      <c r="J16" s="17">
        <v>2004</v>
      </c>
      <c r="K16" s="106">
        <v>4.2700000000000002E-2</v>
      </c>
      <c r="L16" s="18">
        <v>4.3799999999999999E-2</v>
      </c>
      <c r="M16" s="18">
        <v>4.8899999999999999E-2</v>
      </c>
      <c r="N16" s="18">
        <v>3.6999999999999998E-2</v>
      </c>
      <c r="O16" s="18">
        <v>4.24E-2</v>
      </c>
      <c r="P16" s="19">
        <v>-7.0000000000000001E-3</v>
      </c>
    </row>
    <row r="17" spans="1:16" x14ac:dyDescent="0.2">
      <c r="A17" s="17">
        <v>2005</v>
      </c>
      <c r="B17" s="27">
        <v>1207.23</v>
      </c>
      <c r="C17" s="119">
        <f t="shared" si="0"/>
        <v>6.7730951222747901E-2</v>
      </c>
      <c r="D17" s="27">
        <v>1202.08</v>
      </c>
      <c r="E17" s="27">
        <v>1272.74</v>
      </c>
      <c r="F17" s="27">
        <v>1137.5</v>
      </c>
      <c r="G17" s="27">
        <v>1248.29</v>
      </c>
      <c r="H17" s="20">
        <v>0.03</v>
      </c>
      <c r="J17" s="17">
        <v>2005</v>
      </c>
      <c r="K17" s="106">
        <v>4.2900000000000001E-2</v>
      </c>
      <c r="L17" s="18">
        <v>4.2299999999999997E-2</v>
      </c>
      <c r="M17" s="18">
        <v>4.6600000000000003E-2</v>
      </c>
      <c r="N17" s="18">
        <v>3.8899999999999997E-2</v>
      </c>
      <c r="O17" s="18">
        <v>4.3900000000000002E-2</v>
      </c>
      <c r="P17" s="20">
        <v>3.5400000000000001E-2</v>
      </c>
    </row>
    <row r="18" spans="1:16" x14ac:dyDescent="0.2">
      <c r="A18" s="17">
        <v>2006</v>
      </c>
      <c r="B18" s="27">
        <v>1310.46</v>
      </c>
      <c r="C18" s="119">
        <f t="shared" si="0"/>
        <v>8.5509803434308307E-2</v>
      </c>
      <c r="D18" s="27">
        <v>1268.8</v>
      </c>
      <c r="E18" s="27">
        <v>1427.09</v>
      </c>
      <c r="F18" s="27">
        <v>1223.69</v>
      </c>
      <c r="G18" s="27">
        <v>1418.3</v>
      </c>
      <c r="H18" s="20">
        <v>0.13619999999999999</v>
      </c>
      <c r="J18" s="17">
        <v>2006</v>
      </c>
      <c r="K18" s="106">
        <v>4.8000000000000001E-2</v>
      </c>
      <c r="L18" s="18">
        <v>4.3700000000000003E-2</v>
      </c>
      <c r="M18" s="18">
        <v>5.2499999999999998E-2</v>
      </c>
      <c r="N18" s="18">
        <v>4.3400000000000001E-2</v>
      </c>
      <c r="O18" s="18">
        <v>4.7100000000000003E-2</v>
      </c>
      <c r="P18" s="20">
        <v>7.2900000000000006E-2</v>
      </c>
    </row>
    <row r="19" spans="1:16" x14ac:dyDescent="0.2">
      <c r="A19" s="17">
        <v>2007</v>
      </c>
      <c r="B19" s="27">
        <v>1477.18</v>
      </c>
      <c r="C19" s="119">
        <f t="shared" si="0"/>
        <v>0.12722250202219071</v>
      </c>
      <c r="D19" s="27">
        <v>1416.6</v>
      </c>
      <c r="E19" s="27">
        <v>1565.15</v>
      </c>
      <c r="F19" s="27">
        <v>1374.12</v>
      </c>
      <c r="G19" s="27">
        <v>1468.36</v>
      </c>
      <c r="H19" s="20">
        <v>3.5299999999999998E-2</v>
      </c>
      <c r="J19" s="17">
        <v>2007</v>
      </c>
      <c r="K19" s="106">
        <v>4.6300000000000001E-2</v>
      </c>
      <c r="L19" s="18">
        <v>4.6800000000000001E-2</v>
      </c>
      <c r="M19" s="18">
        <v>5.2600000000000001E-2</v>
      </c>
      <c r="N19" s="18">
        <v>3.8300000000000001E-2</v>
      </c>
      <c r="O19" s="18">
        <v>4.0399999999999998E-2</v>
      </c>
      <c r="P19" s="19">
        <v>-0.14230000000000001</v>
      </c>
    </row>
    <row r="20" spans="1:16" x14ac:dyDescent="0.2">
      <c r="A20" s="17">
        <v>2008</v>
      </c>
      <c r="B20" s="27">
        <v>1220.04</v>
      </c>
      <c r="C20" s="119">
        <f t="shared" si="0"/>
        <v>-0.17407492654923576</v>
      </c>
      <c r="D20" s="27">
        <v>1447.16</v>
      </c>
      <c r="E20" s="27">
        <v>1447.16</v>
      </c>
      <c r="F20" s="27">
        <v>752.44</v>
      </c>
      <c r="G20" s="27">
        <v>903.25</v>
      </c>
      <c r="H20" s="19">
        <v>-0.38490000000000002</v>
      </c>
      <c r="J20" s="17">
        <v>2008</v>
      </c>
      <c r="K20" s="106">
        <v>3.6600000000000001E-2</v>
      </c>
      <c r="L20" s="18">
        <v>3.9100000000000003E-2</v>
      </c>
      <c r="M20" s="18">
        <v>4.2700000000000002E-2</v>
      </c>
      <c r="N20" s="18">
        <v>2.0799999999999999E-2</v>
      </c>
      <c r="O20" s="18">
        <v>2.2499999999999999E-2</v>
      </c>
      <c r="P20" s="19">
        <v>-0.44309999999999999</v>
      </c>
    </row>
    <row r="21" spans="1:16" x14ac:dyDescent="0.2">
      <c r="A21" s="17">
        <v>2009</v>
      </c>
      <c r="B21" s="27">
        <v>948.05</v>
      </c>
      <c r="C21" s="119">
        <f t="shared" si="0"/>
        <v>-0.22293531359627555</v>
      </c>
      <c r="D21" s="27">
        <v>931.8</v>
      </c>
      <c r="E21" s="27">
        <v>1127.78</v>
      </c>
      <c r="F21" s="27">
        <v>676.53</v>
      </c>
      <c r="G21" s="27">
        <v>1115.0999999999999</v>
      </c>
      <c r="H21" s="20">
        <v>0.23449999999999999</v>
      </c>
      <c r="J21" s="17">
        <v>2009</v>
      </c>
      <c r="K21" s="106">
        <v>3.2599999999999997E-2</v>
      </c>
      <c r="L21" s="18">
        <v>2.46E-2</v>
      </c>
      <c r="M21" s="18">
        <v>3.9800000000000002E-2</v>
      </c>
      <c r="N21" s="18">
        <v>2.23E-2</v>
      </c>
      <c r="O21" s="18">
        <v>3.85E-2</v>
      </c>
      <c r="P21" s="20">
        <v>0.71109999999999995</v>
      </c>
    </row>
    <row r="22" spans="1:16" x14ac:dyDescent="0.2">
      <c r="A22" s="17">
        <v>2010</v>
      </c>
      <c r="B22" s="27">
        <v>1139.97</v>
      </c>
      <c r="C22" s="119">
        <f t="shared" si="0"/>
        <v>0.20243658034913778</v>
      </c>
      <c r="D22" s="27">
        <v>1132.99</v>
      </c>
      <c r="E22" s="27">
        <v>1259.78</v>
      </c>
      <c r="F22" s="27">
        <v>1022.58</v>
      </c>
      <c r="G22" s="27">
        <v>1257.6400000000001</v>
      </c>
      <c r="H22" s="20">
        <v>0.1278</v>
      </c>
      <c r="J22" s="17">
        <v>2010</v>
      </c>
      <c r="K22" s="106">
        <v>3.2199999999999999E-2</v>
      </c>
      <c r="L22" s="18">
        <v>3.85E-2</v>
      </c>
      <c r="M22" s="18">
        <v>4.0099999999999997E-2</v>
      </c>
      <c r="N22" s="18">
        <v>2.41E-2</v>
      </c>
      <c r="O22" s="18">
        <v>3.3000000000000002E-2</v>
      </c>
      <c r="P22" s="19">
        <v>-0.1429</v>
      </c>
    </row>
    <row r="23" spans="1:16" x14ac:dyDescent="0.2">
      <c r="A23" s="17">
        <v>2011</v>
      </c>
      <c r="B23" s="27">
        <v>1267.6400000000001</v>
      </c>
      <c r="C23" s="119">
        <f t="shared" si="0"/>
        <v>0.11199417528531459</v>
      </c>
      <c r="D23" s="27">
        <v>1271.8699999999999</v>
      </c>
      <c r="E23" s="27">
        <v>1363.61</v>
      </c>
      <c r="F23" s="27">
        <v>1099.23</v>
      </c>
      <c r="G23" s="27">
        <v>1257.5999999999999</v>
      </c>
      <c r="H23" s="19">
        <v>0</v>
      </c>
      <c r="J23" s="17">
        <v>2011</v>
      </c>
      <c r="K23" s="106">
        <v>2.7799999999999998E-2</v>
      </c>
      <c r="L23" s="18">
        <v>3.3599999999999998E-2</v>
      </c>
      <c r="M23" s="18">
        <v>3.7499999999999999E-2</v>
      </c>
      <c r="N23" s="18">
        <v>1.72E-2</v>
      </c>
      <c r="O23" s="18">
        <v>1.89E-2</v>
      </c>
      <c r="P23" s="19">
        <v>-0.42730000000000001</v>
      </c>
    </row>
    <row r="24" spans="1:16" x14ac:dyDescent="0.2">
      <c r="A24" s="17">
        <v>2012</v>
      </c>
      <c r="B24" s="27">
        <v>1379.61</v>
      </c>
      <c r="C24" s="119">
        <f t="shared" si="0"/>
        <v>8.8329494178157678E-2</v>
      </c>
      <c r="D24" s="27">
        <v>1277.06</v>
      </c>
      <c r="E24" s="27">
        <v>1465.77</v>
      </c>
      <c r="F24" s="27">
        <v>1277.06</v>
      </c>
      <c r="G24" s="27">
        <v>1426.19</v>
      </c>
      <c r="H24" s="20">
        <v>0.1341</v>
      </c>
      <c r="J24" s="17">
        <v>2012</v>
      </c>
      <c r="K24" s="106">
        <v>1.7999999999999999E-2</v>
      </c>
      <c r="L24" s="18">
        <v>1.9699999999999999E-2</v>
      </c>
      <c r="M24" s="18">
        <v>2.3900000000000001E-2</v>
      </c>
      <c r="N24" s="18">
        <v>1.43E-2</v>
      </c>
      <c r="O24" s="18">
        <v>1.78E-2</v>
      </c>
      <c r="P24" s="19">
        <v>-5.8200000000000002E-2</v>
      </c>
    </row>
    <row r="25" spans="1:16" x14ac:dyDescent="0.2">
      <c r="A25" s="17">
        <v>2013</v>
      </c>
      <c r="B25" s="27">
        <v>1643.8</v>
      </c>
      <c r="C25" s="119">
        <f t="shared" si="0"/>
        <v>0.19149614746196394</v>
      </c>
      <c r="D25" s="27">
        <v>1462.42</v>
      </c>
      <c r="E25" s="27">
        <v>1848.36</v>
      </c>
      <c r="F25" s="27">
        <v>1457.15</v>
      </c>
      <c r="G25" s="27">
        <v>1848.36</v>
      </c>
      <c r="H25" s="20">
        <v>0.29599999999999999</v>
      </c>
      <c r="J25" s="17">
        <v>2013</v>
      </c>
      <c r="K25" s="106">
        <v>2.35E-2</v>
      </c>
      <c r="L25" s="18">
        <v>1.8599999999999998E-2</v>
      </c>
      <c r="M25" s="18">
        <v>3.04E-2</v>
      </c>
      <c r="N25" s="18">
        <v>1.66E-2</v>
      </c>
      <c r="O25" s="18">
        <v>3.04E-2</v>
      </c>
      <c r="P25" s="20">
        <v>0.70789999999999997</v>
      </c>
    </row>
    <row r="26" spans="1:16" x14ac:dyDescent="0.2">
      <c r="A26" s="17">
        <v>2014</v>
      </c>
      <c r="B26" s="27">
        <v>1931.38</v>
      </c>
      <c r="C26" s="119">
        <f t="shared" si="0"/>
        <v>0.17494829054629527</v>
      </c>
      <c r="D26" s="27">
        <v>1831.98</v>
      </c>
      <c r="E26" s="27">
        <v>2090.5700000000002</v>
      </c>
      <c r="F26" s="27">
        <v>1741.89</v>
      </c>
      <c r="G26" s="27">
        <v>2058.9</v>
      </c>
      <c r="H26" s="20">
        <v>0.1139</v>
      </c>
      <c r="J26" s="17">
        <v>2014</v>
      </c>
      <c r="K26" s="106">
        <v>2.5399999999999999E-2</v>
      </c>
      <c r="L26" s="18">
        <v>0.03</v>
      </c>
      <c r="M26" s="18">
        <v>3.0099999999999998E-2</v>
      </c>
      <c r="N26" s="18">
        <v>2.07E-2</v>
      </c>
      <c r="O26" s="18">
        <v>2.1700000000000001E-2</v>
      </c>
      <c r="P26" s="19">
        <v>-0.28620000000000001</v>
      </c>
    </row>
    <row r="27" spans="1:16" x14ac:dyDescent="0.2">
      <c r="A27" s="17">
        <v>2015</v>
      </c>
      <c r="B27" s="27">
        <v>2061.0700000000002</v>
      </c>
      <c r="C27" s="119">
        <f t="shared" si="0"/>
        <v>6.7148878004328533E-2</v>
      </c>
      <c r="D27" s="27">
        <v>2058.1999999999998</v>
      </c>
      <c r="E27" s="27">
        <v>2130.8200000000002</v>
      </c>
      <c r="F27" s="27">
        <v>1867.61</v>
      </c>
      <c r="G27" s="27">
        <v>2043.94</v>
      </c>
      <c r="H27" s="19">
        <v>-7.3000000000000001E-3</v>
      </c>
      <c r="J27" s="17">
        <v>2015</v>
      </c>
      <c r="K27" s="106">
        <v>2.1399999999999999E-2</v>
      </c>
      <c r="L27" s="18">
        <v>2.12E-2</v>
      </c>
      <c r="M27" s="18">
        <v>2.5000000000000001E-2</v>
      </c>
      <c r="N27" s="18">
        <v>1.6799999999999999E-2</v>
      </c>
      <c r="O27" s="18">
        <v>2.2700000000000001E-2</v>
      </c>
      <c r="P27" s="20">
        <v>4.6100000000000002E-2</v>
      </c>
    </row>
    <row r="28" spans="1:16" x14ac:dyDescent="0.2">
      <c r="A28" s="17">
        <v>2016</v>
      </c>
      <c r="B28" s="27">
        <v>2094.65</v>
      </c>
      <c r="C28" s="119">
        <f t="shared" si="0"/>
        <v>1.629250826027254E-2</v>
      </c>
      <c r="D28" s="27">
        <v>2012.66</v>
      </c>
      <c r="E28" s="27">
        <v>2271.7199999999998</v>
      </c>
      <c r="F28" s="27">
        <v>1829.08</v>
      </c>
      <c r="G28" s="27">
        <v>2238.83</v>
      </c>
      <c r="H28" s="20">
        <v>9.5399999999999999E-2</v>
      </c>
      <c r="J28" s="17">
        <v>2016</v>
      </c>
      <c r="K28" s="106">
        <v>1.84E-2</v>
      </c>
      <c r="L28" s="18">
        <v>2.24E-2</v>
      </c>
      <c r="M28" s="18">
        <v>2.5999999999999999E-2</v>
      </c>
      <c r="N28" s="18">
        <v>1.37E-2</v>
      </c>
      <c r="O28" s="18">
        <v>2.4400000000000002E-2</v>
      </c>
      <c r="P28" s="20">
        <v>7.6799999999999993E-2</v>
      </c>
    </row>
    <row r="29" spans="1:16" x14ac:dyDescent="0.2">
      <c r="A29" s="17">
        <v>2017</v>
      </c>
      <c r="B29" s="27">
        <v>2449.08</v>
      </c>
      <c r="C29" s="119">
        <f t="shared" si="0"/>
        <v>0.1692072661303797</v>
      </c>
      <c r="D29" s="27">
        <v>2257.83</v>
      </c>
      <c r="E29" s="27">
        <v>2690.16</v>
      </c>
      <c r="F29" s="27">
        <v>2257.83</v>
      </c>
      <c r="G29" s="27">
        <v>2673.61</v>
      </c>
      <c r="H29" s="20">
        <v>0.19420000000000001</v>
      </c>
      <c r="J29" s="17">
        <v>2017</v>
      </c>
      <c r="K29" s="106">
        <v>2.3300000000000001E-2</v>
      </c>
      <c r="L29" s="18">
        <v>2.4400000000000002E-2</v>
      </c>
      <c r="M29" s="18">
        <v>2.63E-2</v>
      </c>
      <c r="N29" s="18">
        <v>2.0400000000000001E-2</v>
      </c>
      <c r="O29" s="18">
        <v>2.41E-2</v>
      </c>
      <c r="P29" s="19">
        <v>-1.5900000000000001E-2</v>
      </c>
    </row>
    <row r="30" spans="1:16" x14ac:dyDescent="0.2">
      <c r="A30" s="17">
        <v>2018</v>
      </c>
      <c r="B30" s="27">
        <v>2746.21</v>
      </c>
      <c r="C30" s="119">
        <f t="shared" si="0"/>
        <v>0.12132310908586086</v>
      </c>
      <c r="D30" s="27">
        <v>2695.81</v>
      </c>
      <c r="E30" s="27">
        <v>2930.75</v>
      </c>
      <c r="F30" s="27">
        <v>2351.1</v>
      </c>
      <c r="G30" s="27">
        <v>2506.85</v>
      </c>
      <c r="H30" s="19">
        <v>-6.2399999999999997E-2</v>
      </c>
      <c r="J30" s="17">
        <v>2018</v>
      </c>
      <c r="K30" s="106">
        <v>2.9100000000000001E-2</v>
      </c>
      <c r="L30" s="18">
        <v>2.46E-2</v>
      </c>
      <c r="M30" s="18">
        <v>3.2399999999999998E-2</v>
      </c>
      <c r="N30" s="18">
        <v>2.4400000000000002E-2</v>
      </c>
      <c r="O30" s="18">
        <v>2.69E-2</v>
      </c>
      <c r="P30" s="20">
        <v>0.1183</v>
      </c>
    </row>
    <row r="31" spans="1:16" x14ac:dyDescent="0.2">
      <c r="A31" s="17">
        <v>2019</v>
      </c>
      <c r="B31" s="27">
        <v>2913.36</v>
      </c>
      <c r="C31" s="119">
        <f t="shared" si="0"/>
        <v>6.0865702185921723E-2</v>
      </c>
      <c r="D31" s="27">
        <v>2510.0300000000002</v>
      </c>
      <c r="E31" s="27">
        <v>3240.02</v>
      </c>
      <c r="F31" s="27">
        <v>2447.89</v>
      </c>
      <c r="G31" s="27">
        <v>3230.78</v>
      </c>
      <c r="H31" s="20">
        <v>0.2888</v>
      </c>
      <c r="J31" s="17">
        <v>2019</v>
      </c>
      <c r="K31" s="106">
        <v>2.1399999999999999E-2</v>
      </c>
      <c r="L31" s="18">
        <v>2.6599999999999999E-2</v>
      </c>
      <c r="M31" s="18">
        <v>2.7900000000000001E-2</v>
      </c>
      <c r="N31" s="18">
        <v>1.47E-2</v>
      </c>
      <c r="O31" s="18">
        <v>1.9199999999999998E-2</v>
      </c>
      <c r="P31" s="19">
        <v>-0.28620000000000001</v>
      </c>
    </row>
    <row r="32" spans="1:16" x14ac:dyDescent="0.2">
      <c r="A32" s="17">
        <v>2020</v>
      </c>
      <c r="B32" s="27">
        <v>3217.86</v>
      </c>
      <c r="C32" s="119">
        <f t="shared" si="0"/>
        <v>0.10451849410989372</v>
      </c>
      <c r="D32" s="27">
        <v>3257.85</v>
      </c>
      <c r="E32" s="27">
        <v>3756.07</v>
      </c>
      <c r="F32" s="27">
        <v>2237.4</v>
      </c>
      <c r="G32" s="27">
        <v>3756.07</v>
      </c>
      <c r="H32" s="20">
        <v>0.16259999999999999</v>
      </c>
      <c r="J32" s="17">
        <v>2020</v>
      </c>
      <c r="K32" s="106">
        <v>8.8999999999999999E-3</v>
      </c>
      <c r="L32" s="18">
        <v>1.8800000000000001E-2</v>
      </c>
      <c r="M32" s="18">
        <v>1.8800000000000001E-2</v>
      </c>
      <c r="N32" s="18">
        <v>5.1999999999999998E-3</v>
      </c>
      <c r="O32" s="18">
        <v>9.2999999999999992E-3</v>
      </c>
      <c r="P32" s="19">
        <v>-0.51559999999999995</v>
      </c>
    </row>
    <row r="33" spans="1:16" x14ac:dyDescent="0.2">
      <c r="A33" s="17">
        <v>2021</v>
      </c>
      <c r="B33" s="27">
        <v>4273.41</v>
      </c>
      <c r="C33" s="119">
        <f t="shared" si="0"/>
        <v>0.32802856556842114</v>
      </c>
      <c r="D33" s="27">
        <v>3700.65</v>
      </c>
      <c r="E33" s="27">
        <v>4793.0600000000004</v>
      </c>
      <c r="F33" s="27">
        <v>3700.65</v>
      </c>
      <c r="G33" s="27">
        <v>4766.18</v>
      </c>
      <c r="H33" s="20">
        <v>0.26889999999999997</v>
      </c>
      <c r="J33" s="17">
        <v>2021</v>
      </c>
      <c r="K33" s="106">
        <v>1.4500000000000001E-2</v>
      </c>
      <c r="L33" s="18">
        <v>9.2999999999999992E-3</v>
      </c>
      <c r="M33" s="18">
        <v>1.7399999999999999E-2</v>
      </c>
      <c r="N33" s="18">
        <v>9.2999999999999992E-3</v>
      </c>
      <c r="O33" s="18">
        <v>1.52E-2</v>
      </c>
      <c r="P33" s="20">
        <v>0.63439999999999996</v>
      </c>
    </row>
    <row r="34" spans="1:16" x14ac:dyDescent="0.2">
      <c r="A34" s="17">
        <v>2022</v>
      </c>
      <c r="B34" s="27">
        <v>4451.45</v>
      </c>
      <c r="C34" s="119">
        <f t="shared" si="0"/>
        <v>4.1662279069876275E-2</v>
      </c>
      <c r="D34" s="27">
        <v>4796.5600000000004</v>
      </c>
      <c r="E34" s="27">
        <v>4796.5600000000004</v>
      </c>
      <c r="F34" s="27">
        <v>4170.7</v>
      </c>
      <c r="G34" s="27">
        <v>4463.12</v>
      </c>
      <c r="H34" s="19">
        <v>-6.3600000000000004E-2</v>
      </c>
      <c r="J34" s="17">
        <v>2022</v>
      </c>
      <c r="K34" s="106">
        <v>1.8700000000000001E-2</v>
      </c>
      <c r="L34" s="18">
        <v>1.6299999999999999E-2</v>
      </c>
      <c r="M34" s="18">
        <v>2.1999999999999999E-2</v>
      </c>
      <c r="N34" s="18">
        <v>1.6299999999999999E-2</v>
      </c>
      <c r="O34" s="18">
        <v>2.1999999999999999E-2</v>
      </c>
      <c r="P34" s="20">
        <v>0.44740000000000002</v>
      </c>
    </row>
    <row r="35" spans="1:16" x14ac:dyDescent="0.2">
      <c r="A35" s="17"/>
      <c r="B35" s="23"/>
      <c r="C35" s="23"/>
      <c r="D35" s="23"/>
      <c r="E35" s="23"/>
      <c r="F35" s="23"/>
      <c r="G35" s="23"/>
      <c r="H35" s="25"/>
    </row>
    <row r="36" spans="1:16" x14ac:dyDescent="0.2">
      <c r="A36" s="161" t="s">
        <v>432</v>
      </c>
      <c r="B36" s="161"/>
      <c r="C36" s="128">
        <f>AVERAGE(C6:C34)</f>
        <v>9.1397883311391204E-2</v>
      </c>
      <c r="D36" s="23"/>
      <c r="E36" s="23"/>
      <c r="G36" s="172" t="s">
        <v>410</v>
      </c>
      <c r="H36" s="173">
        <f>AVERAGE(H5:H34)</f>
        <v>9.529E-2</v>
      </c>
      <c r="J36" s="169" t="s">
        <v>426</v>
      </c>
      <c r="K36" s="170">
        <f>AVERAGE(K5:K34)</f>
        <v>3.8690000000000002E-2</v>
      </c>
      <c r="P36" s="113"/>
    </row>
    <row r="37" spans="1:16" x14ac:dyDescent="0.2">
      <c r="A37" s="17"/>
      <c r="B37" s="23"/>
      <c r="C37" s="23"/>
      <c r="D37" s="23"/>
      <c r="E37" s="23"/>
      <c r="F37" s="23"/>
      <c r="G37" s="172"/>
      <c r="H37" s="173"/>
      <c r="J37" s="169"/>
      <c r="K37" s="170"/>
    </row>
    <row r="38" spans="1:16" x14ac:dyDescent="0.2">
      <c r="G38" s="23"/>
      <c r="H38" s="24"/>
    </row>
    <row r="39" spans="1:16" x14ac:dyDescent="0.2">
      <c r="A39" s="146" t="s">
        <v>425</v>
      </c>
      <c r="B39" s="146"/>
      <c r="C39" s="146"/>
      <c r="D39" s="146"/>
      <c r="E39" s="146"/>
      <c r="F39" s="146"/>
      <c r="G39" s="23"/>
      <c r="H39" s="24"/>
    </row>
    <row r="40" spans="1:16" x14ac:dyDescent="0.2">
      <c r="A40" s="17"/>
      <c r="B40" s="23"/>
      <c r="C40" s="23"/>
      <c r="D40" s="23"/>
      <c r="E40" s="23"/>
      <c r="F40" s="23"/>
      <c r="G40" s="23"/>
      <c r="H40" s="24"/>
    </row>
    <row r="41" spans="1:16" x14ac:dyDescent="0.2">
      <c r="A41" s="162" t="s">
        <v>424</v>
      </c>
      <c r="B41" s="162"/>
      <c r="C41" s="128">
        <f>C36</f>
        <v>9.1397883311391204E-2</v>
      </c>
      <c r="D41" s="23"/>
      <c r="E41" s="23"/>
      <c r="F41" s="23"/>
      <c r="G41" s="23"/>
      <c r="H41" s="24"/>
    </row>
    <row r="42" spans="1:16" x14ac:dyDescent="0.2">
      <c r="A42" s="162" t="s">
        <v>231</v>
      </c>
      <c r="B42" s="162"/>
      <c r="C42" s="128">
        <f>K36</f>
        <v>3.8690000000000002E-2</v>
      </c>
      <c r="D42" s="23"/>
      <c r="E42" s="23"/>
      <c r="F42" s="23"/>
      <c r="G42" s="23"/>
      <c r="H42" s="24"/>
    </row>
    <row r="43" spans="1:16" x14ac:dyDescent="0.2">
      <c r="A43" s="17"/>
      <c r="B43" s="23"/>
      <c r="C43" s="23"/>
      <c r="D43" s="23"/>
      <c r="E43" s="23"/>
      <c r="F43" s="23"/>
      <c r="G43" s="23"/>
      <c r="H43" s="24"/>
    </row>
    <row r="44" spans="1:16" ht="16" customHeight="1" x14ac:dyDescent="0.2">
      <c r="A44" s="144" t="s">
        <v>427</v>
      </c>
      <c r="B44" s="144"/>
      <c r="C44" s="163">
        <f>C41-C42</f>
        <v>5.2707883311391202E-2</v>
      </c>
      <c r="D44" s="23"/>
      <c r="E44" s="23"/>
      <c r="F44" s="23"/>
      <c r="G44" s="23"/>
      <c r="H44" s="25"/>
    </row>
    <row r="45" spans="1:16" x14ac:dyDescent="0.2">
      <c r="A45" s="144"/>
      <c r="B45" s="144"/>
      <c r="C45" s="163"/>
      <c r="D45" s="23"/>
      <c r="E45" s="23"/>
      <c r="F45" s="23"/>
      <c r="G45" s="23"/>
      <c r="H45" s="24"/>
    </row>
    <row r="46" spans="1:16" x14ac:dyDescent="0.2">
      <c r="A46" s="144"/>
      <c r="B46" s="144"/>
      <c r="C46" s="163"/>
      <c r="D46" s="23"/>
      <c r="E46" s="23"/>
      <c r="F46" s="23"/>
      <c r="G46" s="23"/>
      <c r="H46" s="24"/>
    </row>
    <row r="47" spans="1:16" x14ac:dyDescent="0.2">
      <c r="A47" s="17"/>
      <c r="B47" s="23"/>
      <c r="C47" s="23"/>
      <c r="D47" s="23"/>
      <c r="E47" s="23"/>
      <c r="F47" s="23"/>
      <c r="G47" s="23"/>
      <c r="H47" s="24"/>
    </row>
    <row r="48" spans="1:16" x14ac:dyDescent="0.2">
      <c r="A48" s="17"/>
      <c r="B48" s="23"/>
      <c r="C48" s="23"/>
      <c r="D48" s="23"/>
      <c r="E48" s="23"/>
      <c r="F48" s="23"/>
      <c r="G48" s="23"/>
      <c r="H48" s="25"/>
    </row>
    <row r="49" spans="1:8" x14ac:dyDescent="0.2">
      <c r="A49" s="17"/>
      <c r="B49" s="23"/>
      <c r="C49" s="23"/>
      <c r="D49" s="23"/>
      <c r="E49" s="23"/>
      <c r="F49" s="23"/>
      <c r="G49" s="23"/>
      <c r="H49" s="24"/>
    </row>
    <row r="50" spans="1:8" x14ac:dyDescent="0.2">
      <c r="A50" s="17"/>
      <c r="B50" s="23"/>
      <c r="C50" s="23"/>
      <c r="D50" s="23"/>
      <c r="E50" s="23"/>
      <c r="F50" s="23"/>
      <c r="G50" s="23"/>
      <c r="H50" s="24"/>
    </row>
    <row r="51" spans="1:8" x14ac:dyDescent="0.2">
      <c r="A51" s="17"/>
      <c r="B51" s="23"/>
      <c r="C51" s="23"/>
      <c r="D51" s="23"/>
      <c r="E51" s="23"/>
      <c r="F51" s="23"/>
      <c r="G51" s="23"/>
      <c r="H51" s="25"/>
    </row>
    <row r="52" spans="1:8" x14ac:dyDescent="0.2">
      <c r="A52" s="17"/>
      <c r="B52" s="23"/>
      <c r="C52" s="23"/>
      <c r="D52" s="23"/>
      <c r="E52" s="23"/>
      <c r="F52" s="23"/>
      <c r="G52" s="23"/>
      <c r="H52" s="25"/>
    </row>
    <row r="53" spans="1:8" x14ac:dyDescent="0.2">
      <c r="A53" s="17"/>
      <c r="B53" s="23"/>
      <c r="C53" s="23"/>
      <c r="D53" s="23"/>
      <c r="E53" s="23"/>
      <c r="F53" s="23"/>
      <c r="G53" s="23"/>
      <c r="H53" s="24"/>
    </row>
    <row r="54" spans="1:8" x14ac:dyDescent="0.2">
      <c r="A54" s="17"/>
      <c r="B54" s="23"/>
      <c r="C54" s="23"/>
      <c r="D54" s="23"/>
      <c r="E54" s="23"/>
      <c r="F54" s="23"/>
      <c r="G54" s="23"/>
      <c r="H54" s="24"/>
    </row>
    <row r="55" spans="1:8" x14ac:dyDescent="0.2">
      <c r="A55" s="17"/>
      <c r="B55" s="23"/>
      <c r="C55" s="23"/>
      <c r="D55" s="23"/>
      <c r="E55" s="23"/>
      <c r="F55" s="23"/>
      <c r="G55" s="23"/>
      <c r="H55" s="24"/>
    </row>
    <row r="56" spans="1:8" x14ac:dyDescent="0.2">
      <c r="A56" s="17"/>
      <c r="B56" s="23"/>
      <c r="C56" s="23"/>
      <c r="D56" s="23"/>
      <c r="E56" s="23"/>
      <c r="F56" s="23"/>
      <c r="G56" s="23"/>
      <c r="H56" s="25"/>
    </row>
    <row r="57" spans="1:8" x14ac:dyDescent="0.2">
      <c r="A57" s="17"/>
      <c r="B57" s="23"/>
      <c r="C57" s="23"/>
      <c r="D57" s="23"/>
      <c r="E57" s="23"/>
      <c r="F57" s="23"/>
      <c r="G57" s="23"/>
      <c r="H57" s="24"/>
    </row>
    <row r="58" spans="1:8" x14ac:dyDescent="0.2">
      <c r="A58" s="17"/>
      <c r="B58" s="23"/>
      <c r="C58" s="23"/>
      <c r="D58" s="23"/>
      <c r="E58" s="23"/>
      <c r="F58" s="23"/>
      <c r="G58" s="23"/>
      <c r="H58" s="24"/>
    </row>
    <row r="59" spans="1:8" x14ac:dyDescent="0.2">
      <c r="A59" s="17"/>
      <c r="B59" s="23"/>
      <c r="C59" s="23"/>
      <c r="D59" s="23"/>
      <c r="E59" s="23"/>
      <c r="F59" s="23"/>
      <c r="G59" s="23"/>
      <c r="H59" s="25"/>
    </row>
    <row r="60" spans="1:8" x14ac:dyDescent="0.2">
      <c r="A60" s="17"/>
      <c r="B60" s="23"/>
      <c r="C60" s="23"/>
      <c r="D60" s="23"/>
      <c r="E60" s="23"/>
      <c r="F60" s="23"/>
      <c r="G60" s="23"/>
      <c r="H60" s="24"/>
    </row>
    <row r="61" spans="1:8" x14ac:dyDescent="0.2">
      <c r="A61" s="17"/>
      <c r="B61" s="23"/>
      <c r="C61" s="23"/>
      <c r="D61" s="23"/>
      <c r="E61" s="23"/>
      <c r="F61" s="23"/>
      <c r="G61" s="23"/>
      <c r="H61" s="24"/>
    </row>
    <row r="62" spans="1:8" x14ac:dyDescent="0.2">
      <c r="A62" s="17"/>
      <c r="B62" s="23"/>
      <c r="C62" s="23"/>
      <c r="D62" s="23"/>
      <c r="E62" s="23"/>
      <c r="F62" s="23"/>
      <c r="G62" s="23"/>
      <c r="H62" s="24"/>
    </row>
    <row r="63" spans="1:8" x14ac:dyDescent="0.2">
      <c r="A63" s="17"/>
      <c r="B63" s="23"/>
      <c r="C63" s="23"/>
      <c r="D63" s="23"/>
      <c r="E63" s="23"/>
      <c r="F63" s="23"/>
      <c r="G63" s="23"/>
      <c r="H63" s="25"/>
    </row>
    <row r="64" spans="1:8" x14ac:dyDescent="0.2">
      <c r="A64" s="17"/>
      <c r="B64" s="23"/>
      <c r="C64" s="23"/>
      <c r="D64" s="23"/>
      <c r="E64" s="23"/>
      <c r="F64" s="23"/>
      <c r="G64" s="23"/>
      <c r="H64" s="24"/>
    </row>
    <row r="65" spans="1:8" x14ac:dyDescent="0.2">
      <c r="A65" s="17"/>
      <c r="B65" s="23"/>
      <c r="C65" s="23"/>
      <c r="D65" s="23"/>
      <c r="E65" s="23"/>
      <c r="F65" s="23"/>
      <c r="G65" s="23"/>
      <c r="H65" s="25"/>
    </row>
    <row r="66" spans="1:8" x14ac:dyDescent="0.2">
      <c r="A66" s="17"/>
      <c r="B66" s="23"/>
      <c r="C66" s="23"/>
      <c r="D66" s="23"/>
      <c r="E66" s="23"/>
      <c r="F66" s="23"/>
      <c r="G66" s="23"/>
      <c r="H66" s="24"/>
    </row>
    <row r="67" spans="1:8" x14ac:dyDescent="0.2">
      <c r="A67" s="17"/>
      <c r="B67" s="23"/>
      <c r="C67" s="23"/>
      <c r="D67" s="23"/>
      <c r="E67" s="23"/>
      <c r="F67" s="23"/>
      <c r="G67" s="23"/>
      <c r="H67" s="24"/>
    </row>
    <row r="68" spans="1:8" x14ac:dyDescent="0.2">
      <c r="A68" s="17"/>
      <c r="B68" s="23"/>
      <c r="C68" s="23"/>
      <c r="D68" s="23"/>
      <c r="E68" s="23"/>
      <c r="F68" s="23"/>
      <c r="G68" s="23"/>
      <c r="H68" s="25"/>
    </row>
    <row r="69" spans="1:8" x14ac:dyDescent="0.2">
      <c r="A69" s="17"/>
      <c r="B69" s="23"/>
      <c r="C69" s="23"/>
      <c r="D69" s="23"/>
      <c r="E69" s="23"/>
      <c r="F69" s="23"/>
      <c r="G69" s="23"/>
      <c r="H69" s="24"/>
    </row>
    <row r="70" spans="1:8" x14ac:dyDescent="0.2">
      <c r="A70" s="17"/>
      <c r="B70" s="23"/>
      <c r="C70" s="23"/>
      <c r="D70" s="23"/>
      <c r="E70" s="23"/>
      <c r="F70" s="23"/>
      <c r="G70" s="23"/>
      <c r="H70" s="24"/>
    </row>
    <row r="71" spans="1:8" x14ac:dyDescent="0.2">
      <c r="A71" s="17"/>
      <c r="B71" s="23"/>
      <c r="C71" s="23"/>
      <c r="D71" s="23"/>
      <c r="E71" s="23"/>
      <c r="F71" s="23"/>
      <c r="G71" s="23"/>
      <c r="H71" s="24"/>
    </row>
    <row r="72" spans="1:8" x14ac:dyDescent="0.2">
      <c r="A72" s="17"/>
      <c r="B72" s="23"/>
      <c r="C72" s="23"/>
      <c r="D72" s="23"/>
      <c r="E72" s="23"/>
      <c r="F72" s="23"/>
      <c r="G72" s="23"/>
      <c r="H72" s="25"/>
    </row>
    <row r="73" spans="1:8" x14ac:dyDescent="0.2">
      <c r="A73" s="17"/>
      <c r="B73" s="23"/>
      <c r="C73" s="23"/>
      <c r="D73" s="23"/>
      <c r="E73" s="23"/>
      <c r="F73" s="23"/>
      <c r="G73" s="23"/>
      <c r="H73" s="24"/>
    </row>
    <row r="74" spans="1:8" x14ac:dyDescent="0.2">
      <c r="A74" s="17"/>
      <c r="B74" s="23"/>
      <c r="C74" s="23"/>
      <c r="D74" s="23"/>
      <c r="E74" s="23"/>
      <c r="F74" s="23"/>
      <c r="G74" s="23"/>
      <c r="H74" s="24"/>
    </row>
    <row r="75" spans="1:8" x14ac:dyDescent="0.2">
      <c r="A75" s="17"/>
      <c r="B75" s="23"/>
      <c r="C75" s="23"/>
      <c r="D75" s="23"/>
      <c r="E75" s="23"/>
      <c r="F75" s="23"/>
      <c r="G75" s="23"/>
      <c r="H75" s="24"/>
    </row>
    <row r="76" spans="1:8" x14ac:dyDescent="0.2">
      <c r="A76" s="17"/>
      <c r="B76" s="23"/>
      <c r="C76" s="23"/>
      <c r="D76" s="23"/>
      <c r="E76" s="23"/>
      <c r="F76" s="23"/>
      <c r="G76" s="23"/>
      <c r="H76" s="24"/>
    </row>
    <row r="77" spans="1:8" x14ac:dyDescent="0.2">
      <c r="A77" s="17"/>
      <c r="B77" s="23"/>
      <c r="C77" s="23"/>
      <c r="D77" s="23"/>
      <c r="E77" s="23"/>
      <c r="F77" s="23"/>
      <c r="G77" s="23"/>
      <c r="H77" s="25"/>
    </row>
    <row r="78" spans="1:8" x14ac:dyDescent="0.2">
      <c r="A78" s="17"/>
      <c r="B78" s="23"/>
      <c r="C78" s="23"/>
      <c r="D78" s="23"/>
      <c r="E78" s="23"/>
      <c r="F78" s="23"/>
      <c r="G78" s="23"/>
      <c r="H78" s="25"/>
    </row>
    <row r="79" spans="1:8" x14ac:dyDescent="0.2">
      <c r="A79" s="17"/>
      <c r="B79" s="23"/>
      <c r="C79" s="23"/>
      <c r="D79" s="23"/>
      <c r="E79" s="23"/>
      <c r="F79" s="23"/>
      <c r="G79" s="23"/>
      <c r="H79" s="25"/>
    </row>
    <row r="80" spans="1:8" x14ac:dyDescent="0.2">
      <c r="A80" s="17"/>
      <c r="B80" s="23"/>
      <c r="C80" s="23"/>
      <c r="D80" s="23"/>
      <c r="E80" s="23"/>
      <c r="F80" s="23"/>
      <c r="G80" s="23"/>
      <c r="H80" s="24"/>
    </row>
    <row r="81" spans="1:8" x14ac:dyDescent="0.2">
      <c r="A81" s="17"/>
      <c r="B81" s="23"/>
      <c r="C81" s="23"/>
      <c r="D81" s="23"/>
      <c r="E81" s="23"/>
      <c r="F81" s="23"/>
      <c r="G81" s="23"/>
      <c r="H81" s="24"/>
    </row>
    <row r="82" spans="1:8" x14ac:dyDescent="0.2">
      <c r="A82" s="17"/>
      <c r="B82" s="23"/>
      <c r="C82" s="23"/>
      <c r="D82" s="23"/>
      <c r="E82" s="23"/>
      <c r="F82" s="23"/>
      <c r="G82" s="23"/>
      <c r="H82" s="24"/>
    </row>
    <row r="83" spans="1:8" x14ac:dyDescent="0.2">
      <c r="A83" s="17"/>
      <c r="B83" s="23"/>
      <c r="C83" s="23"/>
      <c r="D83" s="23"/>
      <c r="E83" s="23"/>
      <c r="F83" s="23"/>
      <c r="G83" s="23"/>
      <c r="H83" s="24"/>
    </row>
    <row r="84" spans="1:8" x14ac:dyDescent="0.2">
      <c r="A84" s="17"/>
      <c r="B84" s="23"/>
      <c r="C84" s="23"/>
      <c r="D84" s="23"/>
      <c r="E84" s="23"/>
      <c r="F84" s="23"/>
      <c r="G84" s="23"/>
      <c r="H84" s="25"/>
    </row>
    <row r="85" spans="1:8" x14ac:dyDescent="0.2">
      <c r="A85" s="17"/>
      <c r="B85" s="23"/>
      <c r="C85" s="23"/>
      <c r="D85" s="23"/>
      <c r="E85" s="23"/>
      <c r="F85" s="23"/>
      <c r="G85" s="23"/>
      <c r="H85" s="25"/>
    </row>
    <row r="86" spans="1:8" x14ac:dyDescent="0.2">
      <c r="A86" s="17"/>
      <c r="B86" s="23"/>
      <c r="C86" s="23"/>
      <c r="D86" s="23"/>
      <c r="E86" s="23"/>
      <c r="F86" s="23"/>
      <c r="G86" s="23"/>
      <c r="H86" s="25"/>
    </row>
    <row r="87" spans="1:8" x14ac:dyDescent="0.2">
      <c r="A87" s="17"/>
      <c r="B87" s="23"/>
      <c r="C87" s="23"/>
      <c r="D87" s="23"/>
      <c r="E87" s="23"/>
      <c r="F87" s="23"/>
      <c r="G87" s="23"/>
      <c r="H87" s="24"/>
    </row>
    <row r="88" spans="1:8" x14ac:dyDescent="0.2">
      <c r="A88" s="17"/>
      <c r="B88" s="23"/>
      <c r="C88" s="23"/>
      <c r="D88" s="23"/>
      <c r="E88" s="23"/>
      <c r="F88" s="23"/>
      <c r="G88" s="23"/>
      <c r="H88" s="25"/>
    </row>
    <row r="89" spans="1:8" x14ac:dyDescent="0.2">
      <c r="A89" s="17"/>
      <c r="B89" s="23"/>
      <c r="C89" s="23"/>
      <c r="D89" s="23"/>
      <c r="E89" s="23"/>
      <c r="F89" s="23"/>
      <c r="G89" s="23"/>
      <c r="H89" s="24"/>
    </row>
    <row r="90" spans="1:8" x14ac:dyDescent="0.2">
      <c r="A90" s="17"/>
      <c r="B90" s="23"/>
      <c r="C90" s="23"/>
      <c r="D90" s="23"/>
      <c r="E90" s="23"/>
      <c r="F90" s="23"/>
      <c r="G90" s="23"/>
      <c r="H90" s="24"/>
    </row>
    <row r="91" spans="1:8" x14ac:dyDescent="0.2">
      <c r="A91" s="17"/>
      <c r="B91" s="23"/>
      <c r="C91" s="23"/>
      <c r="D91" s="23"/>
      <c r="E91" s="23"/>
      <c r="F91" s="23"/>
      <c r="G91" s="23"/>
      <c r="H91" s="25"/>
    </row>
    <row r="92" spans="1:8" x14ac:dyDescent="0.2">
      <c r="A92" s="17"/>
      <c r="B92" s="23"/>
      <c r="C92" s="23"/>
      <c r="D92" s="23"/>
      <c r="E92" s="23"/>
      <c r="F92" s="23"/>
      <c r="G92" s="23"/>
      <c r="H92" s="24"/>
    </row>
    <row r="93" spans="1:8" x14ac:dyDescent="0.2">
      <c r="A93" s="17"/>
      <c r="B93" s="23"/>
      <c r="C93" s="23"/>
      <c r="D93" s="23"/>
      <c r="E93" s="23"/>
      <c r="F93" s="23"/>
      <c r="G93" s="23"/>
      <c r="H93" s="25"/>
    </row>
    <row r="94" spans="1:8" x14ac:dyDescent="0.2">
      <c r="A94" s="17"/>
      <c r="B94" s="23"/>
      <c r="C94" s="23"/>
      <c r="D94" s="23"/>
      <c r="E94" s="23"/>
      <c r="F94" s="23"/>
      <c r="G94" s="23"/>
      <c r="H94" s="25"/>
    </row>
    <row r="95" spans="1:8" x14ac:dyDescent="0.2">
      <c r="A95" s="17"/>
      <c r="B95" s="23"/>
      <c r="C95" s="23"/>
      <c r="D95" s="23"/>
      <c r="E95" s="23"/>
      <c r="F95" s="23"/>
      <c r="G95" s="23"/>
      <c r="H95" s="25"/>
    </row>
    <row r="96" spans="1:8" x14ac:dyDescent="0.2">
      <c r="A96" s="17"/>
      <c r="B96" s="23"/>
      <c r="C96" s="23"/>
      <c r="D96" s="23"/>
      <c r="E96" s="23"/>
      <c r="F96" s="23"/>
      <c r="G96" s="23"/>
      <c r="H96" s="25"/>
    </row>
    <row r="97" spans="1:8" x14ac:dyDescent="0.2">
      <c r="A97" s="17"/>
      <c r="B97" s="23"/>
      <c r="C97" s="23"/>
      <c r="D97" s="23"/>
      <c r="E97" s="23"/>
      <c r="F97" s="23"/>
      <c r="G97" s="23"/>
      <c r="H97" s="24"/>
    </row>
  </sheetData>
  <sortState xmlns:xlrd2="http://schemas.microsoft.com/office/spreadsheetml/2017/richdata2" ref="A5:H34">
    <sortCondition ref="A5:A34"/>
  </sortState>
  <mergeCells count="26">
    <mergeCell ref="J36:J37"/>
    <mergeCell ref="K36:K37"/>
    <mergeCell ref="H3:H4"/>
    <mergeCell ref="G36:G37"/>
    <mergeCell ref="H36:H37"/>
    <mergeCell ref="A1:H1"/>
    <mergeCell ref="J1:P1"/>
    <mergeCell ref="J3:J4"/>
    <mergeCell ref="K3:K4"/>
    <mergeCell ref="L3:L4"/>
    <mergeCell ref="M3:M4"/>
    <mergeCell ref="N3:N4"/>
    <mergeCell ref="O3:O4"/>
    <mergeCell ref="A3:A4"/>
    <mergeCell ref="D3:D4"/>
    <mergeCell ref="E3:E4"/>
    <mergeCell ref="F3:F4"/>
    <mergeCell ref="G3:G4"/>
    <mergeCell ref="P3:P4"/>
    <mergeCell ref="C3:C5"/>
    <mergeCell ref="A36:B36"/>
    <mergeCell ref="A39:F39"/>
    <mergeCell ref="A41:B41"/>
    <mergeCell ref="A42:B42"/>
    <mergeCell ref="A44:B46"/>
    <mergeCell ref="C44:C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Apple FS</vt:lpstr>
      <vt:lpstr>Company Analysis</vt:lpstr>
      <vt:lpstr>Risk and Return Analysis</vt:lpstr>
      <vt:lpstr>Annual return S&amp;P500, Treasury</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2022-03-21T15:06:55Z</dcterms:created>
  <dcterms:modified xsi:type="dcterms:W3CDTF">2022-03-29T14:44:44Z</dcterms:modified>
  <cp:category/>
</cp:coreProperties>
</file>