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2135" windowHeight="7575" firstSheet="2" activeTab="4"/>
  </bookViews>
  <sheets>
    <sheet name="Overview" sheetId="8" r:id="rId1"/>
    <sheet name="Starter" sheetId="1" r:id="rId2"/>
    <sheet name="Grains" sheetId="2" r:id="rId3"/>
    <sheet name="Water" sheetId="7" r:id="rId4"/>
    <sheet name="Mash" sheetId="3" r:id="rId5"/>
    <sheet name="Boil" sheetId="4" r:id="rId6"/>
    <sheet name="Fermentaiton" sheetId="5" r:id="rId7"/>
    <sheet name="Bottling" sheetId="6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E3" i="3" l="1"/>
  <c r="B15" i="1" l="1"/>
  <c r="B3" i="1"/>
  <c r="D82" i="6" l="1"/>
  <c r="D80" i="6"/>
  <c r="C80" i="6"/>
  <c r="F79" i="6"/>
  <c r="D79" i="6"/>
  <c r="D78" i="6"/>
  <c r="F78" i="6" s="1"/>
  <c r="D75" i="6"/>
  <c r="C75" i="6"/>
  <c r="D74" i="6"/>
  <c r="F74" i="6" s="1"/>
  <c r="G73" i="6"/>
  <c r="D73" i="6"/>
  <c r="F73" i="6" s="1"/>
  <c r="G72" i="6"/>
  <c r="F72" i="6"/>
  <c r="D72" i="6"/>
  <c r="D71" i="6"/>
  <c r="G71" i="6" s="1"/>
  <c r="D68" i="6"/>
  <c r="C68" i="6"/>
  <c r="C82" i="6" s="1"/>
  <c r="D65" i="6"/>
  <c r="F65" i="6" s="1"/>
  <c r="D64" i="6"/>
  <c r="F64" i="6" s="1"/>
  <c r="G63" i="6"/>
  <c r="F63" i="6"/>
  <c r="D63" i="6"/>
  <c r="G62" i="6"/>
  <c r="G61" i="6"/>
  <c r="F61" i="6"/>
  <c r="D61" i="6"/>
  <c r="D60" i="6"/>
  <c r="G60" i="6" s="1"/>
  <c r="F40" i="6"/>
  <c r="H42" i="6"/>
  <c r="F42" i="6"/>
  <c r="A9" i="6"/>
  <c r="A10" i="6" s="1"/>
  <c r="A11" i="6" s="1"/>
  <c r="A12" i="6" s="1"/>
  <c r="A13" i="6" s="1"/>
  <c r="A14" i="6" s="1"/>
  <c r="A8" i="6"/>
  <c r="A7" i="6"/>
  <c r="F60" i="6" l="1"/>
  <c r="F71" i="6"/>
  <c r="B8" i="3"/>
  <c r="B8" i="2"/>
  <c r="B6" i="3"/>
  <c r="D6" i="3"/>
</calcChain>
</file>

<file path=xl/comments1.xml><?xml version="1.0" encoding="utf-8"?>
<comments xmlns="http://schemas.openxmlformats.org/spreadsheetml/2006/main">
  <authors>
    <author/>
  </authors>
  <commentList>
    <comment ref="C61" authorId="0">
      <text>
        <r>
          <rPr>
            <sz val="10"/>
            <rFont val="Arial"/>
            <family val="2"/>
          </rPr>
          <t>enter the measured final extract/gravity of the fast ferment test if one was done. If no fast ferment test was done enter the final extract/gravity of the beer</t>
        </r>
      </text>
    </comment>
    <comment ref="C65" authorId="0">
      <text>
        <r>
          <rPr>
            <sz val="10"/>
            <rFont val="Arial"/>
            <family val="2"/>
          </rPr>
          <t>Use a carbonation table for this. Unpressurized beer at 10C/50F has 2.3 g/l; at 15C/60C has 1.9 g/l and at 20C/68F has 1.7 g/l</t>
        </r>
      </text>
    </comment>
    <comment ref="C66" authorId="0">
      <text>
        <r>
          <rPr>
            <sz val="10"/>
            <rFont val="Arial"/>
            <family val="2"/>
          </rPr>
          <t xml:space="preserve">Some beers have an expected amount of residual fermentable sugars (fast ferment test attenuation v.s. final beer attenuation difference. If you don't know what to put here enter 0
</t>
        </r>
      </text>
    </comment>
    <comment ref="C71" authorId="0">
      <text>
        <r>
          <rPr>
            <sz val="10"/>
            <rFont val="Arial"/>
            <family val="2"/>
          </rPr>
          <t>This is most likely the same as the starting extract/gravity of the beer</t>
        </r>
      </text>
    </comment>
    <comment ref="C72" authorId="0">
      <text>
        <r>
          <rPr>
            <sz val="10"/>
            <rFont val="Arial"/>
            <family val="2"/>
          </rPr>
          <t>measure the kraeusen bier's current apperent extract/gravity or estimate it.
If you use Speise or gyle (a.k.a. unfermented wort) enter the starting extract/gravity.</t>
        </r>
      </text>
    </comment>
    <comment ref="C73" authorId="0">
      <text>
        <r>
          <rPr>
            <sz val="10"/>
            <rFont val="Arial"/>
            <family val="2"/>
          </rPr>
          <t>Most likely the fast ferment test result of the beer. If it is not known use the final extract/gravity of the beer</t>
        </r>
      </text>
    </comment>
    <comment ref="C74" authorId="0">
      <text>
        <r>
          <rPr>
            <sz val="10"/>
            <rFont val="Arial"/>
            <family val="2"/>
          </rPr>
          <t>play with this to adjust carbonation. Don't use more than 80-90% of the actual kraeusen volume as you want to leave the sediment behind and only add the kraeusen beer and the yeast suspended in it</t>
        </r>
      </text>
    </comment>
    <comment ref="C79" authorId="0">
      <text>
        <r>
          <rPr>
            <sz val="10"/>
            <rFont val="Arial"/>
            <family val="2"/>
          </rPr>
          <t>non clumping corn sugar is glucose monohydrate and consists to 91% of clucose and 9% water. hence it is only 91% fermentable</t>
        </r>
      </text>
    </comment>
  </commentList>
</comments>
</file>

<file path=xl/sharedStrings.xml><?xml version="1.0" encoding="utf-8"?>
<sst xmlns="http://schemas.openxmlformats.org/spreadsheetml/2006/main" count="115" uniqueCount="109">
  <si>
    <t>Name</t>
  </si>
  <si>
    <t>Style</t>
  </si>
  <si>
    <t>Equipment</t>
  </si>
  <si>
    <t>Target Batch Size</t>
  </si>
  <si>
    <t>Target Boil Size</t>
  </si>
  <si>
    <t>Efficiency</t>
  </si>
  <si>
    <t>Boil Time</t>
  </si>
  <si>
    <t>Boil SG</t>
  </si>
  <si>
    <t>OG</t>
  </si>
  <si>
    <t>FG</t>
  </si>
  <si>
    <t>ABV</t>
  </si>
  <si>
    <t>Bitterness</t>
  </si>
  <si>
    <t>Color</t>
  </si>
  <si>
    <t>IBUGU</t>
  </si>
  <si>
    <t>Wort Gravity</t>
  </si>
  <si>
    <t>Wort Volume</t>
  </si>
  <si>
    <t>Pitch Rate</t>
  </si>
  <si>
    <t>Yeast Date</t>
  </si>
  <si>
    <t>Generation</t>
  </si>
  <si>
    <t>Cells Available</t>
  </si>
  <si>
    <t>Starter size</t>
  </si>
  <si>
    <t>Gravity</t>
  </si>
  <si>
    <t>DME</t>
  </si>
  <si>
    <t>Stirplate?</t>
  </si>
  <si>
    <t>Source</t>
  </si>
  <si>
    <t>Refridgerator Filtered</t>
  </si>
  <si>
    <t>Adjustments</t>
  </si>
  <si>
    <t>None</t>
  </si>
  <si>
    <t>Strike Water Calculations</t>
  </si>
  <si>
    <t>Mash</t>
  </si>
  <si>
    <t>Temperature</t>
  </si>
  <si>
    <t>Duration</t>
  </si>
  <si>
    <t>Minutes Remaining</t>
  </si>
  <si>
    <t>Irish Moss</t>
  </si>
  <si>
    <t>Yeast Nutrient</t>
  </si>
  <si>
    <t>Spalt</t>
  </si>
  <si>
    <t>Additions</t>
  </si>
  <si>
    <t>Strike Water Temp</t>
  </si>
  <si>
    <t>Bottling</t>
  </si>
  <si>
    <t>Desired Volume of CO2</t>
  </si>
  <si>
    <t>c beer</t>
  </si>
  <si>
    <t>m corn sugar</t>
  </si>
  <si>
    <t>vbeer</t>
  </si>
  <si>
    <t>hover over the value field marked with red square or triangle to see help text</t>
  </si>
  <si>
    <t>Carbonation calculator</t>
  </si>
  <si>
    <t>v2.2</t>
  </si>
  <si>
    <t>Units</t>
  </si>
  <si>
    <t>volume (l, qt or gal)</t>
  </si>
  <si>
    <t>qt</t>
  </si>
  <si>
    <t>gravity (SG or Plato)</t>
  </si>
  <si>
    <t>SG</t>
  </si>
  <si>
    <t>CO2 content (g/l or vol)</t>
  </si>
  <si>
    <t>vol</t>
  </si>
  <si>
    <t>weight (g or oz)</t>
  </si>
  <si>
    <t>oz</t>
  </si>
  <si>
    <t>Information about the beer</t>
  </si>
  <si>
    <t>unit</t>
  </si>
  <si>
    <t>Starting extract or gravity</t>
  </si>
  <si>
    <t>Fast ferment test apparent extract or gravity</t>
  </si>
  <si>
    <t>current extract/gravity of the beer</t>
  </si>
  <si>
    <t>amount of beer</t>
  </si>
  <si>
    <t>current CO2 content of the beer.</t>
  </si>
  <si>
    <t>desired limit of attenuation to attenuation difference</t>
  </si>
  <si>
    <t>%</t>
  </si>
  <si>
    <t>CO2 contributed by beer</t>
  </si>
  <si>
    <t>priming with Kraeusen</t>
  </si>
  <si>
    <t>Starting extract/gravity of Kraeusen</t>
  </si>
  <si>
    <t>current apparent extract/gravity of Kraeusen</t>
  </si>
  <si>
    <t>Final apparent extact/gravity of Kraeusen</t>
  </si>
  <si>
    <t xml:space="preserve">Kraeusen volume to be used for priming </t>
  </si>
  <si>
    <t>CO2 contributed by Kraeusen</t>
  </si>
  <si>
    <t>priming with sugar</t>
  </si>
  <si>
    <t>Table sugar (sucrose)</t>
  </si>
  <si>
    <t>Corn sugar (glucose monohydrate)</t>
  </si>
  <si>
    <t>CO2 contributed by sugar</t>
  </si>
  <si>
    <t>total carbonation</t>
  </si>
  <si>
    <t>innoculation rate</t>
  </si>
  <si>
    <t>Addition</t>
  </si>
  <si>
    <t>0.7 oz</t>
  </si>
  <si>
    <t>Amount</t>
  </si>
  <si>
    <t>water/grain ratio (qts/lb)</t>
  </si>
  <si>
    <t>temperature of mash (F)</t>
  </si>
  <si>
    <t>target temperature of mash (F)</t>
  </si>
  <si>
    <t>Total Weight</t>
  </si>
  <si>
    <t>Gal:</t>
  </si>
  <si>
    <t>House Set</t>
  </si>
  <si>
    <t>148 g</t>
  </si>
  <si>
    <t>yes</t>
  </si>
  <si>
    <t>boiloff rate (G/H)</t>
  </si>
  <si>
    <t>Oatmeal Stout 1</t>
  </si>
  <si>
    <t>Oatmeal Stout</t>
  </si>
  <si>
    <t>Munich</t>
  </si>
  <si>
    <t>Chocolate</t>
  </si>
  <si>
    <t>60L</t>
  </si>
  <si>
    <t>Barley</t>
  </si>
  <si>
    <t>Calculated Strike Water Volume</t>
  </si>
  <si>
    <t>Actual Strike Water Volume</t>
  </si>
  <si>
    <t>90 minutes</t>
  </si>
  <si>
    <t>Sparge Water Calculations</t>
  </si>
  <si>
    <t>Sparge Water Used</t>
  </si>
  <si>
    <t>Tetnang</t>
  </si>
  <si>
    <t>other</t>
  </si>
  <si>
    <t>lag phase lasted around 18 hours</t>
  </si>
  <si>
    <t>1 tsp</t>
  </si>
  <si>
    <t>1/2 tsp</t>
  </si>
  <si>
    <t>Post Temperature</t>
  </si>
  <si>
    <t>5 Gal</t>
  </si>
  <si>
    <t>2 Row</t>
  </si>
  <si>
    <t>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</si>
</sst>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8"/>
      <name val="Arial"/>
      <family val="2"/>
    </font>
    <font>
      <sz val="8"/>
      <name val="Arial"/>
      <family val="2"/>
    </font>
    <font>
      <b/>
      <sz val="15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9">
    <xf numFmtId="0" fontId="0" fillId="0" borderId="0" xfId="0"/>
    <xf numFmtId="9" fontId="0" fillId="0" borderId="0" xfId="0" applyNumberFormat="1"/>
    <xf numFmtId="0" fontId="2" fillId="3" borderId="1" xfId="2"/>
    <xf numFmtId="0" fontId="1" fillId="2" borderId="1" xfId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/>
    <xf numFmtId="0" fontId="7" fillId="0" borderId="0" xfId="0" applyFont="1" applyBorder="1" applyAlignment="1">
      <alignment horizontal="center"/>
    </xf>
    <xf numFmtId="0" fontId="8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0" fontId="8" fillId="5" borderId="5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>
      <alignment horizontal="right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>
      <alignment horizontal="right"/>
    </xf>
    <xf numFmtId="0" fontId="8" fillId="5" borderId="9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 applyAlignment="1">
      <alignment horizontal="right"/>
    </xf>
    <xf numFmtId="0" fontId="0" fillId="6" borderId="14" xfId="0" applyFill="1" applyBorder="1" applyProtection="1">
      <protection locked="0"/>
    </xf>
    <xf numFmtId="0" fontId="0" fillId="0" borderId="15" xfId="0" applyBorder="1"/>
    <xf numFmtId="0" fontId="9" fillId="0" borderId="0" xfId="0" applyFont="1"/>
    <xf numFmtId="0" fontId="10" fillId="0" borderId="0" xfId="0" applyFont="1"/>
    <xf numFmtId="0" fontId="7" fillId="0" borderId="16" xfId="0" applyFont="1" applyBorder="1" applyAlignment="1">
      <alignment horizontal="right"/>
    </xf>
    <xf numFmtId="164" fontId="0" fillId="7" borderId="17" xfId="0" applyNumberFormat="1" applyFill="1" applyBorder="1"/>
    <xf numFmtId="0" fontId="0" fillId="0" borderId="18" xfId="0" applyBorder="1"/>
    <xf numFmtId="0" fontId="7" fillId="0" borderId="19" xfId="0" applyFont="1" applyBorder="1" applyAlignment="1">
      <alignment horizontal="right"/>
    </xf>
    <xf numFmtId="164" fontId="0" fillId="7" borderId="20" xfId="0" applyNumberFormat="1" applyFill="1" applyBorder="1"/>
    <xf numFmtId="0" fontId="0" fillId="0" borderId="21" xfId="0" applyFont="1" applyBorder="1"/>
    <xf numFmtId="15" fontId="0" fillId="0" borderId="0" xfId="0" applyNumberFormat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right" wrapText="1"/>
    </xf>
    <xf numFmtId="0" fontId="0" fillId="6" borderId="14" xfId="0" applyFill="1" applyBorder="1" applyProtection="1">
      <protection locked="0"/>
    </xf>
    <xf numFmtId="0" fontId="0" fillId="0" borderId="15" xfId="0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16</xdr:row>
      <xdr:rowOff>149552</xdr:rowOff>
    </xdr:from>
    <xdr:to>
      <xdr:col>14</xdr:col>
      <xdr:colOff>506440</xdr:colOff>
      <xdr:row>34</xdr:row>
      <xdr:rowOff>181780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3197552"/>
          <a:ext cx="6945340" cy="34612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176616/Downloads/Kaiser_carbonation_calculator_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detailed calculations"/>
      <sheetName val="Histor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4" sqref="G4"/>
    </sheetView>
  </sheetViews>
  <sheetFormatPr defaultRowHeight="15" x14ac:dyDescent="0.25"/>
  <cols>
    <col min="1" max="1" width="18" customWidth="1"/>
  </cols>
  <sheetData>
    <row r="1" spans="1:2" x14ac:dyDescent="0.25">
      <c r="A1" t="s">
        <v>0</v>
      </c>
      <c r="B1" t="s">
        <v>89</v>
      </c>
    </row>
    <row r="2" spans="1:2" x14ac:dyDescent="0.25">
      <c r="A2" t="s">
        <v>1</v>
      </c>
      <c r="B2" t="s">
        <v>90</v>
      </c>
    </row>
    <row r="3" spans="1:2" x14ac:dyDescent="0.25">
      <c r="A3" t="s">
        <v>2</v>
      </c>
      <c r="B3" t="s">
        <v>85</v>
      </c>
    </row>
    <row r="4" spans="1:2" x14ac:dyDescent="0.25">
      <c r="A4" t="s">
        <v>3</v>
      </c>
      <c r="B4">
        <v>5.5</v>
      </c>
    </row>
    <row r="5" spans="1:2" x14ac:dyDescent="0.25">
      <c r="A5" t="s">
        <v>4</v>
      </c>
      <c r="B5">
        <v>6.5</v>
      </c>
    </row>
    <row r="6" spans="1:2" x14ac:dyDescent="0.25">
      <c r="A6" t="s">
        <v>5</v>
      </c>
      <c r="B6" s="1">
        <v>0.8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1.0469999999999999</v>
      </c>
    </row>
    <row r="10" spans="1:2" x14ac:dyDescent="0.25">
      <c r="A10" t="s">
        <v>8</v>
      </c>
      <c r="B10">
        <v>1.05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  <c r="B13">
        <v>27.3</v>
      </c>
    </row>
    <row r="14" spans="1:2" x14ac:dyDescent="0.25">
      <c r="A14" t="s">
        <v>12</v>
      </c>
      <c r="B14">
        <v>32.299999999999997</v>
      </c>
    </row>
    <row r="15" spans="1:2" x14ac:dyDescent="0.25">
      <c r="A15" t="s">
        <v>13</v>
      </c>
      <c r="B15"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1" sqref="E31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14</v>
      </c>
      <c r="B1">
        <v>1.05</v>
      </c>
    </row>
    <row r="2" spans="1:2" x14ac:dyDescent="0.25">
      <c r="A2" t="s">
        <v>15</v>
      </c>
      <c r="B2">
        <v>5</v>
      </c>
    </row>
    <row r="3" spans="1:2" x14ac:dyDescent="0.25">
      <c r="A3" t="s">
        <v>16</v>
      </c>
      <c r="B3" s="2">
        <f>IF(B1&lt;=1.06,0.75,1)</f>
        <v>0.75</v>
      </c>
    </row>
    <row r="4" spans="1:2" x14ac:dyDescent="0.25">
      <c r="A4" t="s">
        <v>17</v>
      </c>
      <c r="B4" s="33">
        <v>42156</v>
      </c>
    </row>
    <row r="5" spans="1:2" x14ac:dyDescent="0.25">
      <c r="A5" t="s">
        <v>18</v>
      </c>
      <c r="B5">
        <v>1</v>
      </c>
    </row>
    <row r="6" spans="1:2" x14ac:dyDescent="0.25">
      <c r="A6" t="s">
        <v>19</v>
      </c>
    </row>
    <row r="8" spans="1:2" x14ac:dyDescent="0.25">
      <c r="A8" t="s">
        <v>20</v>
      </c>
      <c r="B8">
        <v>1.5</v>
      </c>
    </row>
    <row r="9" spans="1:2" x14ac:dyDescent="0.25">
      <c r="A9" t="s">
        <v>21</v>
      </c>
      <c r="B9">
        <v>1.036</v>
      </c>
    </row>
    <row r="10" spans="1:2" x14ac:dyDescent="0.25">
      <c r="A10" t="s">
        <v>22</v>
      </c>
      <c r="B10" t="s">
        <v>86</v>
      </c>
    </row>
    <row r="11" spans="1:2" x14ac:dyDescent="0.25">
      <c r="A11" t="s">
        <v>23</v>
      </c>
      <c r="B11" t="s">
        <v>87</v>
      </c>
    </row>
    <row r="14" spans="1:2" x14ac:dyDescent="0.25">
      <c r="A14" t="s">
        <v>76</v>
      </c>
      <c r="B14">
        <v>50</v>
      </c>
    </row>
    <row r="15" spans="1:2" x14ac:dyDescent="0.25">
      <c r="B15">
        <f>(12.54793776*B14^-0.4594858324)-0.9994994906</f>
        <v>1.0798127451519233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"/>
    </sheetView>
  </sheetViews>
  <sheetFormatPr defaultRowHeight="15" x14ac:dyDescent="0.25"/>
  <cols>
    <col min="1" max="1" width="12.28515625" bestFit="1" customWidth="1"/>
  </cols>
  <sheetData>
    <row r="1" spans="1:2" x14ac:dyDescent="0.25">
      <c r="A1" t="s">
        <v>107</v>
      </c>
      <c r="B1">
        <v>19</v>
      </c>
    </row>
    <row r="2" spans="1:2" x14ac:dyDescent="0.25">
      <c r="A2" t="s">
        <v>108</v>
      </c>
      <c r="B2">
        <v>2</v>
      </c>
    </row>
    <row r="8" spans="1:2" x14ac:dyDescent="0.25">
      <c r="A8" t="s">
        <v>83</v>
      </c>
      <c r="B8">
        <f ca="1">SUM(B1:B14)</f>
        <v>23.299999999999997</v>
      </c>
    </row>
    <row r="11" spans="1:2" x14ac:dyDescent="0.25">
      <c r="A11" t="s">
        <v>91</v>
      </c>
      <c r="B11">
        <v>0.9</v>
      </c>
    </row>
    <row r="12" spans="1:2" x14ac:dyDescent="0.25">
      <c r="A12" t="s">
        <v>94</v>
      </c>
      <c r="B12">
        <v>0.5</v>
      </c>
    </row>
    <row r="13" spans="1:2" x14ac:dyDescent="0.25">
      <c r="A13" t="s">
        <v>92</v>
      </c>
      <c r="B13">
        <v>0.5</v>
      </c>
    </row>
    <row r="14" spans="1:2" x14ac:dyDescent="0.25">
      <c r="A14" t="s">
        <v>93</v>
      </c>
      <c r="B14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8" sqref="B8"/>
    </sheetView>
  </sheetViews>
  <sheetFormatPr defaultRowHeight="15" x14ac:dyDescent="0.25"/>
  <cols>
    <col min="1" max="1" width="35" bestFit="1" customWidth="1"/>
  </cols>
  <sheetData>
    <row r="1" spans="1:5" x14ac:dyDescent="0.25">
      <c r="A1" t="s">
        <v>28</v>
      </c>
    </row>
    <row r="2" spans="1:5" x14ac:dyDescent="0.25">
      <c r="A2" t="s">
        <v>80</v>
      </c>
      <c r="B2" s="4">
        <v>1.1000000000000001</v>
      </c>
    </row>
    <row r="3" spans="1:5" x14ac:dyDescent="0.25">
      <c r="A3" t="s">
        <v>81</v>
      </c>
      <c r="B3" s="4">
        <v>70</v>
      </c>
      <c r="E3">
        <f>(21*1.1)/4</f>
        <v>5.7750000000000004</v>
      </c>
    </row>
    <row r="4" spans="1:5" x14ac:dyDescent="0.25">
      <c r="A4" t="s">
        <v>82</v>
      </c>
      <c r="B4" s="3">
        <v>154</v>
      </c>
    </row>
    <row r="6" spans="1:5" x14ac:dyDescent="0.25">
      <c r="A6" t="s">
        <v>95</v>
      </c>
      <c r="B6">
        <f ca="1">(B2*Grains!B8)</f>
        <v>29.124999999999996</v>
      </c>
      <c r="C6" t="s">
        <v>84</v>
      </c>
      <c r="D6">
        <f ca="1">B6/4</f>
        <v>7.2812499999999991</v>
      </c>
    </row>
    <row r="7" spans="1:5" x14ac:dyDescent="0.25">
      <c r="A7" t="s">
        <v>96</v>
      </c>
      <c r="B7">
        <v>4</v>
      </c>
    </row>
    <row r="8" spans="1:5" x14ac:dyDescent="0.25">
      <c r="A8" t="s">
        <v>37</v>
      </c>
      <c r="B8" s="2">
        <f>(0.2/B2)*(B4-B3)+B4</f>
        <v>169.27272727272728</v>
      </c>
    </row>
    <row r="14" spans="1:5" x14ac:dyDescent="0.25">
      <c r="A14" t="s">
        <v>29</v>
      </c>
    </row>
    <row r="15" spans="1:5" x14ac:dyDescent="0.25">
      <c r="A15" t="s">
        <v>30</v>
      </c>
      <c r="B15">
        <v>153</v>
      </c>
    </row>
    <row r="16" spans="1:5" x14ac:dyDescent="0.25">
      <c r="A16" t="s">
        <v>31</v>
      </c>
      <c r="B16" t="s">
        <v>97</v>
      </c>
    </row>
    <row r="17" spans="1:2" x14ac:dyDescent="0.25">
      <c r="A17" t="s">
        <v>105</v>
      </c>
      <c r="B17">
        <v>151</v>
      </c>
    </row>
    <row r="19" spans="1:2" x14ac:dyDescent="0.25">
      <c r="A19" t="s">
        <v>98</v>
      </c>
    </row>
    <row r="20" spans="1:2" x14ac:dyDescent="0.25">
      <c r="A20" t="s">
        <v>99</v>
      </c>
      <c r="B2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1" sqref="G21"/>
    </sheetView>
  </sheetViews>
  <sheetFormatPr defaultRowHeight="15" x14ac:dyDescent="0.25"/>
  <cols>
    <col min="1" max="1" width="18.42578125" bestFit="1" customWidth="1"/>
    <col min="2" max="2" width="16.7109375" customWidth="1"/>
  </cols>
  <sheetData>
    <row r="1" spans="1:3" x14ac:dyDescent="0.25">
      <c r="A1" t="s">
        <v>88</v>
      </c>
      <c r="B1">
        <v>1</v>
      </c>
    </row>
    <row r="3" spans="1:3" x14ac:dyDescent="0.25">
      <c r="A3" t="s">
        <v>36</v>
      </c>
      <c r="B3" t="s">
        <v>79</v>
      </c>
    </row>
    <row r="4" spans="1:3" x14ac:dyDescent="0.25">
      <c r="A4" t="s">
        <v>35</v>
      </c>
      <c r="B4" t="s">
        <v>78</v>
      </c>
    </row>
    <row r="5" spans="1:3" x14ac:dyDescent="0.25">
      <c r="A5" t="s">
        <v>33</v>
      </c>
      <c r="B5" t="s">
        <v>103</v>
      </c>
    </row>
    <row r="6" spans="1:3" x14ac:dyDescent="0.25">
      <c r="A6" t="s">
        <v>34</v>
      </c>
      <c r="B6" t="s">
        <v>104</v>
      </c>
    </row>
    <row r="8" spans="1:3" x14ac:dyDescent="0.25">
      <c r="A8" t="s">
        <v>32</v>
      </c>
      <c r="B8" t="s">
        <v>77</v>
      </c>
      <c r="C8" t="s">
        <v>21</v>
      </c>
    </row>
    <row r="9" spans="1:3" x14ac:dyDescent="0.25">
      <c r="A9">
        <v>60</v>
      </c>
      <c r="B9" t="s">
        <v>100</v>
      </c>
      <c r="C9">
        <v>1.052</v>
      </c>
    </row>
    <row r="10" spans="1:3" x14ac:dyDescent="0.25">
      <c r="A10">
        <v>30</v>
      </c>
      <c r="B10" t="s">
        <v>100</v>
      </c>
      <c r="C10">
        <v>1.0549999999999999</v>
      </c>
    </row>
    <row r="11" spans="1:3" x14ac:dyDescent="0.25">
      <c r="A11">
        <v>30</v>
      </c>
      <c r="B11" t="s">
        <v>101</v>
      </c>
      <c r="C11">
        <v>1.0549999999999999</v>
      </c>
    </row>
    <row r="12" spans="1:3" x14ac:dyDescent="0.25">
      <c r="A12">
        <v>20</v>
      </c>
      <c r="B12" t="s">
        <v>33</v>
      </c>
      <c r="C12">
        <v>1.0549999999999999</v>
      </c>
    </row>
    <row r="13" spans="1:3" x14ac:dyDescent="0.25">
      <c r="A13">
        <v>20</v>
      </c>
      <c r="B13" t="s">
        <v>34</v>
      </c>
      <c r="C13">
        <v>1.0549999999999999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workbookViewId="0">
      <selection activeCell="K46" sqref="K46"/>
    </sheetView>
  </sheetViews>
  <sheetFormatPr defaultRowHeight="15" x14ac:dyDescent="0.25"/>
  <sheetData>
    <row r="1" spans="1:12" x14ac:dyDescent="0.25">
      <c r="A1" t="s">
        <v>38</v>
      </c>
    </row>
    <row r="2" spans="1:12" x14ac:dyDescent="0.25">
      <c r="A2" t="s">
        <v>39</v>
      </c>
    </row>
    <row r="3" spans="1:12" x14ac:dyDescent="0.25">
      <c r="B3">
        <v>1.8</v>
      </c>
      <c r="C3">
        <v>2</v>
      </c>
      <c r="D3">
        <v>2.1</v>
      </c>
      <c r="E3">
        <v>2.2000000000000002</v>
      </c>
      <c r="F3">
        <v>2.2999999999999998</v>
      </c>
      <c r="G3">
        <v>2.4</v>
      </c>
      <c r="H3">
        <v>2.5</v>
      </c>
      <c r="I3">
        <v>2.6</v>
      </c>
      <c r="J3">
        <v>2.7</v>
      </c>
      <c r="K3">
        <v>2.8</v>
      </c>
      <c r="L3">
        <v>3</v>
      </c>
    </row>
    <row r="4" spans="1:12" x14ac:dyDescent="0.25">
      <c r="A4">
        <v>32</v>
      </c>
    </row>
    <row r="5" spans="1:12" x14ac:dyDescent="0.25">
      <c r="A5">
        <v>35</v>
      </c>
    </row>
    <row r="6" spans="1:12" x14ac:dyDescent="0.25">
      <c r="A6">
        <v>40</v>
      </c>
    </row>
    <row r="7" spans="1:12" x14ac:dyDescent="0.25">
      <c r="A7">
        <f>A6+5</f>
        <v>45</v>
      </c>
    </row>
    <row r="8" spans="1:12" x14ac:dyDescent="0.25">
      <c r="A8">
        <f t="shared" ref="A8:A14" si="0">A7+5</f>
        <v>50</v>
      </c>
    </row>
    <row r="9" spans="1:12" x14ac:dyDescent="0.25">
      <c r="A9">
        <f t="shared" si="0"/>
        <v>55</v>
      </c>
    </row>
    <row r="10" spans="1:12" x14ac:dyDescent="0.25">
      <c r="A10">
        <f t="shared" si="0"/>
        <v>60</v>
      </c>
    </row>
    <row r="11" spans="1:12" x14ac:dyDescent="0.25">
      <c r="A11">
        <f t="shared" si="0"/>
        <v>65</v>
      </c>
    </row>
    <row r="12" spans="1:12" x14ac:dyDescent="0.25">
      <c r="A12">
        <f t="shared" si="0"/>
        <v>70</v>
      </c>
    </row>
    <row r="13" spans="1:12" x14ac:dyDescent="0.25">
      <c r="A13">
        <f t="shared" si="0"/>
        <v>75</v>
      </c>
    </row>
    <row r="14" spans="1:12" x14ac:dyDescent="0.25">
      <c r="A14">
        <f t="shared" si="0"/>
        <v>80</v>
      </c>
    </row>
    <row r="40" spans="4:8" x14ac:dyDescent="0.25">
      <c r="D40" t="s">
        <v>40</v>
      </c>
      <c r="F40">
        <f>H42/0.5</f>
        <v>4.9194600000000008</v>
      </c>
    </row>
    <row r="41" spans="4:8" x14ac:dyDescent="0.25">
      <c r="D41" t="s">
        <v>41</v>
      </c>
      <c r="F41">
        <v>100</v>
      </c>
    </row>
    <row r="42" spans="4:8" x14ac:dyDescent="0.25">
      <c r="D42" t="s">
        <v>42</v>
      </c>
      <c r="E42">
        <v>5</v>
      </c>
      <c r="F42">
        <f>E42*4/1.06</f>
        <v>18.867924528301884</v>
      </c>
      <c r="H42">
        <f>0.51*0.91*F41/F42</f>
        <v>2.4597300000000004</v>
      </c>
    </row>
    <row r="49" spans="1:7" x14ac:dyDescent="0.25">
      <c r="A49" s="5" t="s">
        <v>43</v>
      </c>
    </row>
    <row r="50" spans="1:7" x14ac:dyDescent="0.25">
      <c r="A50" s="5"/>
      <c r="D50" s="6"/>
    </row>
    <row r="51" spans="1:7" ht="19.5" x14ac:dyDescent="0.3">
      <c r="A51" s="5"/>
      <c r="B51" s="7" t="s">
        <v>44</v>
      </c>
      <c r="C51" s="8"/>
      <c r="D51" s="6" t="s">
        <v>45</v>
      </c>
    </row>
    <row r="52" spans="1:7" ht="15.75" thickBot="1" x14ac:dyDescent="0.3">
      <c r="A52" s="9"/>
      <c r="B52" s="10"/>
      <c r="C52" s="10"/>
      <c r="D52" s="10"/>
      <c r="E52" s="11"/>
      <c r="F52" s="11"/>
      <c r="G52" s="11"/>
    </row>
    <row r="53" spans="1:7" x14ac:dyDescent="0.25">
      <c r="A53" s="9"/>
      <c r="B53" s="12" t="s">
        <v>46</v>
      </c>
      <c r="C53" s="13"/>
      <c r="D53" s="10"/>
      <c r="E53" s="11"/>
      <c r="F53" s="11"/>
      <c r="G53" s="11"/>
    </row>
    <row r="54" spans="1:7" x14ac:dyDescent="0.25">
      <c r="A54" s="9"/>
      <c r="B54" s="14" t="s">
        <v>47</v>
      </c>
      <c r="C54" s="15" t="s">
        <v>48</v>
      </c>
      <c r="D54" s="10"/>
      <c r="E54" s="11"/>
      <c r="F54" s="11"/>
      <c r="G54" s="11"/>
    </row>
    <row r="55" spans="1:7" x14ac:dyDescent="0.25">
      <c r="A55" s="9"/>
      <c r="B55" s="14" t="s">
        <v>49</v>
      </c>
      <c r="C55" s="15" t="s">
        <v>50</v>
      </c>
      <c r="D55" s="10"/>
      <c r="E55" s="11"/>
      <c r="F55" s="11"/>
      <c r="G55" s="11"/>
    </row>
    <row r="56" spans="1:7" x14ac:dyDescent="0.25">
      <c r="A56" s="9"/>
      <c r="B56" s="16" t="s">
        <v>51</v>
      </c>
      <c r="C56" s="17" t="s">
        <v>52</v>
      </c>
      <c r="D56" s="10"/>
      <c r="E56" s="11"/>
      <c r="F56" s="11"/>
      <c r="G56" s="11"/>
    </row>
    <row r="57" spans="1:7" ht="15.75" thickBot="1" x14ac:dyDescent="0.3">
      <c r="A57" s="11"/>
      <c r="B57" s="18" t="s">
        <v>53</v>
      </c>
      <c r="C57" s="19" t="s">
        <v>54</v>
      </c>
      <c r="D57" s="11"/>
      <c r="E57" s="11"/>
      <c r="F57" s="11"/>
      <c r="G57" s="11"/>
    </row>
    <row r="58" spans="1:7" ht="15.75" thickBot="1" x14ac:dyDescent="0.3">
      <c r="A58" s="11"/>
      <c r="B58" s="20"/>
      <c r="C58" s="11"/>
      <c r="D58" s="11"/>
      <c r="E58" s="11"/>
      <c r="F58" s="11"/>
      <c r="G58" s="11"/>
    </row>
    <row r="59" spans="1:7" x14ac:dyDescent="0.25">
      <c r="B59" s="34" t="s">
        <v>55</v>
      </c>
      <c r="C59" s="35"/>
      <c r="D59" s="21" t="s">
        <v>56</v>
      </c>
    </row>
    <row r="60" spans="1:7" x14ac:dyDescent="0.25">
      <c r="B60" s="22" t="s">
        <v>57</v>
      </c>
      <c r="C60" s="23"/>
      <c r="D60" s="24" t="str">
        <f>C55</f>
        <v>SG</v>
      </c>
      <c r="F60" s="25" t="str">
        <f>IF(OR(D60="Plato",D60="SG"),"","specify Plato or SG as unit")</f>
        <v/>
      </c>
      <c r="G60" s="25" t="str">
        <f>IF(AND(C60&lt;2,D60="SG"),"enter SG values without the dot as 10xx and not as 1.0xx","")</f>
        <v>enter SG values without the dot as 10xx and not as 1.0xx</v>
      </c>
    </row>
    <row r="61" spans="1:7" x14ac:dyDescent="0.25">
      <c r="B61" s="36" t="s">
        <v>58</v>
      </c>
      <c r="C61" s="37"/>
      <c r="D61" s="38" t="str">
        <f>C55</f>
        <v>SG</v>
      </c>
      <c r="F61" s="26" t="str">
        <f>IF(OR(D61="Plato",D61="SG"),"","specify Plato or SG as unit")</f>
        <v/>
      </c>
      <c r="G61" s="25" t="str">
        <f>IF(AND(C61&lt;2,D61="SG"),"enter SG values without the dot as 10xx and not as 1.0xx","")</f>
        <v>enter SG values without the dot as 10xx and not as 1.0xx</v>
      </c>
    </row>
    <row r="62" spans="1:7" x14ac:dyDescent="0.25">
      <c r="B62" s="36"/>
      <c r="C62" s="37"/>
      <c r="D62" s="38"/>
      <c r="F62" s="26"/>
      <c r="G62" s="25" t="str">
        <f>IF(AND(C62&lt;2,D62="SG"),"enter SG values without the dot as 10xx and not as 1.0xx","")</f>
        <v/>
      </c>
    </row>
    <row r="63" spans="1:7" x14ac:dyDescent="0.25">
      <c r="B63" s="22" t="s">
        <v>59</v>
      </c>
      <c r="C63" s="23"/>
      <c r="D63" s="24" t="str">
        <f>C55</f>
        <v>SG</v>
      </c>
      <c r="F63" s="26" t="str">
        <f>IF(OR(D63="Plato",D63="SG"),"","specify Plato or SG as unit")</f>
        <v/>
      </c>
      <c r="G63" s="25" t="str">
        <f>IF(AND(C63&lt;2,D63="SG"),"enter SG values without the dot as 10xx and not as 1.0xx","")</f>
        <v>enter SG values without the dot as 10xx and not as 1.0xx</v>
      </c>
    </row>
    <row r="64" spans="1:7" x14ac:dyDescent="0.25">
      <c r="B64" s="22" t="s">
        <v>60</v>
      </c>
      <c r="C64" s="23"/>
      <c r="D64" s="24" t="str">
        <f>C54</f>
        <v>qt</v>
      </c>
      <c r="F64" s="26" t="str">
        <f>IF(OR(D64="l",D64="qt",D64="gal"),"","specify l, qt or gal as unit")</f>
        <v/>
      </c>
      <c r="G64" s="25"/>
    </row>
    <row r="65" spans="2:7" x14ac:dyDescent="0.25">
      <c r="B65" s="22" t="s">
        <v>61</v>
      </c>
      <c r="C65" s="23"/>
      <c r="D65" s="24" t="str">
        <f>C56</f>
        <v>vol</v>
      </c>
      <c r="F65" s="26" t="str">
        <f>IF(OR(D65="g/l",D65="vol"),"","specify g/l or vol as unit")</f>
        <v/>
      </c>
      <c r="G65" s="25"/>
    </row>
    <row r="66" spans="2:7" x14ac:dyDescent="0.25">
      <c r="B66" s="36" t="s">
        <v>62</v>
      </c>
      <c r="C66" s="37">
        <v>0</v>
      </c>
      <c r="D66" s="38" t="s">
        <v>63</v>
      </c>
      <c r="G66" s="25"/>
    </row>
    <row r="67" spans="2:7" x14ac:dyDescent="0.25">
      <c r="B67" s="36"/>
      <c r="C67" s="37"/>
      <c r="D67" s="38"/>
      <c r="G67" s="25"/>
    </row>
    <row r="68" spans="2:7" ht="15.75" thickBot="1" x14ac:dyDescent="0.3">
      <c r="B68" s="27" t="s">
        <v>64</v>
      </c>
      <c r="C68" s="28">
        <f>IF(D68="g/l",'[1]detailed calculations'!B55+'[1]detailed calculations'!B70,('[1]detailed calculations'!B55+'[1]detailed calculations'!B70)/2)</f>
        <v>0</v>
      </c>
      <c r="D68" s="29" t="str">
        <f>C56</f>
        <v>vol</v>
      </c>
      <c r="G68" s="25"/>
    </row>
    <row r="69" spans="2:7" ht="15.75" thickBot="1" x14ac:dyDescent="0.3">
      <c r="G69" s="25"/>
    </row>
    <row r="70" spans="2:7" x14ac:dyDescent="0.25">
      <c r="B70" s="34" t="s">
        <v>65</v>
      </c>
      <c r="C70" s="35"/>
      <c r="D70" s="21" t="s">
        <v>56</v>
      </c>
      <c r="G70" s="25"/>
    </row>
    <row r="71" spans="2:7" x14ac:dyDescent="0.25">
      <c r="B71" s="22" t="s">
        <v>66</v>
      </c>
      <c r="C71" s="23"/>
      <c r="D71" s="24" t="str">
        <f>C55</f>
        <v>SG</v>
      </c>
      <c r="F71" s="26" t="str">
        <f>IF(OR(D71="Plato",D71="SG"),"","specify Plato or SG as unit")</f>
        <v/>
      </c>
      <c r="G71" s="25" t="str">
        <f>IF(AND(C71&lt;2,D71="SG"),"enter SG values without the dot as 10xx and not as 1.0xx","")</f>
        <v>enter SG values without the dot as 10xx and not as 1.0xx</v>
      </c>
    </row>
    <row r="72" spans="2:7" x14ac:dyDescent="0.25">
      <c r="B72" s="22" t="s">
        <v>67</v>
      </c>
      <c r="C72" s="23"/>
      <c r="D72" s="24" t="str">
        <f>C55</f>
        <v>SG</v>
      </c>
      <c r="F72" s="26" t="str">
        <f>IF(OR(D72="Plato",D72="SG"),"","specify Plato or SG as unit")</f>
        <v/>
      </c>
      <c r="G72" s="25" t="str">
        <f>IF(AND(C72&lt;2,D72="SG"),"enter SG values without the dot as 10xx and not as 1.0xx","")</f>
        <v>enter SG values without the dot as 10xx and not as 1.0xx</v>
      </c>
    </row>
    <row r="73" spans="2:7" x14ac:dyDescent="0.25">
      <c r="B73" s="22" t="s">
        <v>68</v>
      </c>
      <c r="C73" s="23"/>
      <c r="D73" s="24" t="str">
        <f>C55</f>
        <v>SG</v>
      </c>
      <c r="F73" s="26" t="str">
        <f>IF(OR(D73="Plato",D73="SG"),"","specify Plato or SG as unit")</f>
        <v/>
      </c>
      <c r="G73" s="25" t="str">
        <f>IF(AND(C73&lt;2,D73="SG"),"enter SG values without the dot as 10xx and not as 1.0xx","")</f>
        <v>enter SG values without the dot as 10xx and not as 1.0xx</v>
      </c>
    </row>
    <row r="74" spans="2:7" x14ac:dyDescent="0.25">
      <c r="B74" s="22" t="s">
        <v>69</v>
      </c>
      <c r="C74" s="23"/>
      <c r="D74" s="24" t="str">
        <f>C54</f>
        <v>qt</v>
      </c>
      <c r="F74" s="26" t="str">
        <f>IF(OR(D74="l",D74="qt",D74="gal"),"","specify l, qt or gal as unit")</f>
        <v/>
      </c>
      <c r="G74" s="25"/>
    </row>
    <row r="75" spans="2:7" ht="15.75" thickBot="1" x14ac:dyDescent="0.3">
      <c r="B75" s="27" t="s">
        <v>70</v>
      </c>
      <c r="C75" s="28">
        <f>IF(C74=0,0,IF(D75="g/l",'[1]detailed calculations'!B86,'[1]detailed calculations'!B86/2))</f>
        <v>0</v>
      </c>
      <c r="D75" s="29" t="str">
        <f>C56</f>
        <v>vol</v>
      </c>
    </row>
    <row r="76" spans="2:7" ht="15.75" thickBot="1" x14ac:dyDescent="0.3"/>
    <row r="77" spans="2:7" x14ac:dyDescent="0.25">
      <c r="B77" s="34" t="s">
        <v>71</v>
      </c>
      <c r="C77" s="35"/>
      <c r="D77" s="21" t="s">
        <v>56</v>
      </c>
    </row>
    <row r="78" spans="2:7" x14ac:dyDescent="0.25">
      <c r="B78" s="22" t="s">
        <v>72</v>
      </c>
      <c r="C78" s="23"/>
      <c r="D78" s="24" t="str">
        <f>C57</f>
        <v>oz</v>
      </c>
      <c r="F78" s="26" t="str">
        <f>IF(OR(D78="g",D78="oz"),"","specify g or oz as unit")</f>
        <v/>
      </c>
    </row>
    <row r="79" spans="2:7" x14ac:dyDescent="0.25">
      <c r="B79" s="22" t="s">
        <v>73</v>
      </c>
      <c r="C79" s="23"/>
      <c r="D79" s="24" t="str">
        <f>C57</f>
        <v>oz</v>
      </c>
      <c r="F79" s="26" t="str">
        <f>IF(OR(D79="g",D79="oz"),"","specify g or oz as unit")</f>
        <v/>
      </c>
    </row>
    <row r="80" spans="2:7" ht="15.75" thickBot="1" x14ac:dyDescent="0.3">
      <c r="B80" s="27" t="s">
        <v>74</v>
      </c>
      <c r="C80" s="28">
        <f>IF(D80="g/l",'[1]detailed calculations'!B90,'[1]detailed calculations'!B90/2)</f>
        <v>0</v>
      </c>
      <c r="D80" s="29" t="str">
        <f>C56</f>
        <v>vol</v>
      </c>
    </row>
    <row r="81" spans="2:4" ht="15.75" thickBot="1" x14ac:dyDescent="0.3"/>
    <row r="82" spans="2:4" ht="15.75" thickBot="1" x14ac:dyDescent="0.3">
      <c r="B82" s="30" t="s">
        <v>75</v>
      </c>
      <c r="C82" s="31">
        <f>C68+C75+C80</f>
        <v>0</v>
      </c>
      <c r="D82" s="32" t="str">
        <f>C56</f>
        <v>vol</v>
      </c>
    </row>
  </sheetData>
  <mergeCells count="9">
    <mergeCell ref="B77:C77"/>
    <mergeCell ref="B59:C59"/>
    <mergeCell ref="B61:B62"/>
    <mergeCell ref="C61:C62"/>
    <mergeCell ref="D61:D62"/>
    <mergeCell ref="B66:B67"/>
    <mergeCell ref="C66:C67"/>
    <mergeCell ref="D66:D67"/>
    <mergeCell ref="B70:C7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Starter</vt:lpstr>
      <vt:lpstr>Grains</vt:lpstr>
      <vt:lpstr>Water</vt:lpstr>
      <vt:lpstr>Mash</vt:lpstr>
      <vt:lpstr>Boil</vt:lpstr>
      <vt:lpstr>Fermentaiton</vt:lpstr>
      <vt:lpstr>Bottling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C176616</dc:creator>
  <cp:lastModifiedBy>C176616</cp:lastModifiedBy>
  <dcterms:created xsi:type="dcterms:W3CDTF">2015-09-08T19:18:31Z</dcterms:created>
  <dcterms:modified xsi:type="dcterms:W3CDTF">2016-01-14T20:20:17Z</dcterms:modified>
</cp:coreProperties>
</file>