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15260" windowHeight="14180" tabRatio="500" activeTab="1"/>
  </bookViews>
  <sheets>
    <sheet name="error_apportionment" sheetId="2" r:id="rId1"/>
    <sheet name="sizing components" sheetId="1" r:id="rId2"/>
  </sheets>
  <definedNames>
    <definedName name="dtot">error_apportionment!$B$6</definedName>
    <definedName name="fg">error_apportionment!$B$12</definedName>
    <definedName name="fl">error_apportionment!$B$14</definedName>
    <definedName name="fp">error_apportionment!$B$15</definedName>
    <definedName name="ft">error_apportionment!$B$13</definedName>
    <definedName name="N">error_apportionment!$B$5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C15" i="2"/>
  <c r="D15" i="2"/>
  <c r="I15" i="2"/>
  <c r="C21" i="2"/>
  <c r="D21" i="2"/>
  <c r="I21" i="2"/>
  <c r="I27" i="2"/>
  <c r="H15" i="2"/>
  <c r="H21" i="2"/>
  <c r="H27" i="2"/>
  <c r="G15" i="2"/>
  <c r="G21" i="2"/>
  <c r="G27" i="2"/>
  <c r="F15" i="2"/>
  <c r="F21" i="2"/>
  <c r="F27" i="2"/>
  <c r="E15" i="2"/>
  <c r="E21" i="2"/>
  <c r="E27" i="2"/>
  <c r="D27" i="2"/>
  <c r="C27" i="2"/>
  <c r="B21" i="2"/>
  <c r="B27" i="2"/>
  <c r="A21" i="2"/>
  <c r="A27" i="2"/>
  <c r="C14" i="2"/>
  <c r="D14" i="2"/>
  <c r="I14" i="2"/>
  <c r="C20" i="2"/>
  <c r="D20" i="2"/>
  <c r="I20" i="2"/>
  <c r="I26" i="2"/>
  <c r="H14" i="2"/>
  <c r="H20" i="2"/>
  <c r="H26" i="2"/>
  <c r="G14" i="2"/>
  <c r="G20" i="2"/>
  <c r="G26" i="2"/>
  <c r="F14" i="2"/>
  <c r="F20" i="2"/>
  <c r="F26" i="2"/>
  <c r="E14" i="2"/>
  <c r="E20" i="2"/>
  <c r="E26" i="2"/>
  <c r="D26" i="2"/>
  <c r="C26" i="2"/>
  <c r="B20" i="2"/>
  <c r="B26" i="2"/>
  <c r="A20" i="2"/>
  <c r="A26" i="2"/>
  <c r="C13" i="2"/>
  <c r="D13" i="2"/>
  <c r="I13" i="2"/>
  <c r="C19" i="2"/>
  <c r="D19" i="2"/>
  <c r="I19" i="2"/>
  <c r="I25" i="2"/>
  <c r="H13" i="2"/>
  <c r="H19" i="2"/>
  <c r="H25" i="2"/>
  <c r="G13" i="2"/>
  <c r="G19" i="2"/>
  <c r="G25" i="2"/>
  <c r="F13" i="2"/>
  <c r="F19" i="2"/>
  <c r="F25" i="2"/>
  <c r="E13" i="2"/>
  <c r="E19" i="2"/>
  <c r="E25" i="2"/>
  <c r="D25" i="2"/>
  <c r="C25" i="2"/>
  <c r="B19" i="2"/>
  <c r="B25" i="2"/>
  <c r="A19" i="2"/>
  <c r="A25" i="2"/>
  <c r="C12" i="2"/>
  <c r="D12" i="2"/>
  <c r="I12" i="2"/>
  <c r="C18" i="2"/>
  <c r="D18" i="2"/>
  <c r="I18" i="2"/>
  <c r="I24" i="2"/>
  <c r="H12" i="2"/>
  <c r="H18" i="2"/>
  <c r="H24" i="2"/>
  <c r="G12" i="2"/>
  <c r="G18" i="2"/>
  <c r="G24" i="2"/>
  <c r="F12" i="2"/>
  <c r="F18" i="2"/>
  <c r="F24" i="2"/>
  <c r="E12" i="2"/>
  <c r="E18" i="2"/>
  <c r="E24" i="2"/>
  <c r="D24" i="2"/>
  <c r="C24" i="2"/>
  <c r="B18" i="2"/>
  <c r="B24" i="2"/>
  <c r="A18" i="2"/>
  <c r="A24" i="2"/>
  <c r="B62" i="1"/>
  <c r="B63" i="1"/>
  <c r="F60" i="1"/>
  <c r="F41" i="1"/>
  <c r="F4" i="1"/>
  <c r="B7" i="1"/>
  <c r="B8" i="1"/>
  <c r="B17" i="1"/>
  <c r="B20" i="1"/>
  <c r="B13" i="1"/>
  <c r="B21" i="1"/>
  <c r="B22" i="1"/>
  <c r="F3" i="1"/>
  <c r="F38" i="1"/>
  <c r="B27" i="1"/>
  <c r="B29" i="1"/>
  <c r="B28" i="1"/>
  <c r="B32" i="1"/>
  <c r="B40" i="1"/>
  <c r="B53" i="1"/>
  <c r="B26" i="1"/>
  <c r="B38" i="1"/>
  <c r="B39" i="1"/>
  <c r="B54" i="1"/>
  <c r="B52" i="1"/>
  <c r="B55" i="1"/>
  <c r="B56" i="1"/>
  <c r="B51" i="1"/>
  <c r="B46" i="1"/>
  <c r="B48" i="1"/>
  <c r="F40" i="1"/>
  <c r="B43" i="1"/>
  <c r="F39" i="1"/>
  <c r="B44" i="1"/>
  <c r="B42" i="1"/>
  <c r="B31" i="1"/>
  <c r="B30" i="1"/>
  <c r="B35" i="1"/>
  <c r="F27" i="1"/>
  <c r="B19" i="1"/>
  <c r="B18" i="1"/>
  <c r="B9" i="1"/>
</calcChain>
</file>

<file path=xl/sharedStrings.xml><?xml version="1.0" encoding="utf-8"?>
<sst xmlns="http://schemas.openxmlformats.org/spreadsheetml/2006/main" count="158" uniqueCount="129">
  <si>
    <t>Variables</t>
  </si>
  <si>
    <t>A</t>
  </si>
  <si>
    <t>B</t>
  </si>
  <si>
    <t>C</t>
  </si>
  <si>
    <t>D</t>
  </si>
  <si>
    <t>thickness [mm]</t>
  </si>
  <si>
    <t>width [mm]</t>
  </si>
  <si>
    <t>length [mm]</t>
  </si>
  <si>
    <t>E</t>
  </si>
  <si>
    <t>K</t>
  </si>
  <si>
    <t>UTS</t>
  </si>
  <si>
    <t>Spring Constant [N/mm]</t>
  </si>
  <si>
    <t>DIAGONALS</t>
  </si>
  <si>
    <t>FLATS</t>
  </si>
  <si>
    <t>length of the diagonal [mm]</t>
  </si>
  <si>
    <t>cut angle 1</t>
  </si>
  <si>
    <t>cut angle 2</t>
  </si>
  <si>
    <t>flat to diagonal length of the slider</t>
  </si>
  <si>
    <t>Ø_1</t>
  </si>
  <si>
    <t>Ø_2</t>
  </si>
  <si>
    <t>F</t>
  </si>
  <si>
    <t>delta</t>
  </si>
  <si>
    <t>theta</t>
  </si>
  <si>
    <t>K_bend</t>
  </si>
  <si>
    <t>angle formed at the end of flat</t>
  </si>
  <si>
    <t>resistance to bending</t>
  </si>
  <si>
    <t>resistance to compression</t>
  </si>
  <si>
    <t>K_comp</t>
  </si>
  <si>
    <t>we seek to minimize delta</t>
  </si>
  <si>
    <t>a</t>
  </si>
  <si>
    <t>b</t>
  </si>
  <si>
    <t>I</t>
  </si>
  <si>
    <t>L</t>
  </si>
  <si>
    <t>Remember stress and yield</t>
  </si>
  <si>
    <t>SLIDER</t>
  </si>
  <si>
    <t>J</t>
  </si>
  <si>
    <t>S</t>
  </si>
  <si>
    <t>H</t>
  </si>
  <si>
    <t>should be greater than b/5</t>
  </si>
  <si>
    <t>P</t>
  </si>
  <si>
    <t>Load</t>
  </si>
  <si>
    <t>deflection from geometry</t>
  </si>
  <si>
    <t>a third of the face size</t>
  </si>
  <si>
    <t>just 3 times the width</t>
  </si>
  <si>
    <t>t</t>
  </si>
  <si>
    <t>teflon thickness</t>
  </si>
  <si>
    <t>Gravity preload displacement</t>
  </si>
  <si>
    <t>accuracy</t>
  </si>
  <si>
    <t>cut accuracy, will be imposed by glue fitting with paper</t>
  </si>
  <si>
    <t>angle of the slider cuts</t>
  </si>
  <si>
    <t>angle due to tolerances</t>
  </si>
  <si>
    <t>BEARING</t>
  </si>
  <si>
    <t>model as rectangular beam</t>
  </si>
  <si>
    <t>k</t>
  </si>
  <si>
    <t>Remember critical load where the thing pops out</t>
  </si>
  <si>
    <t>R</t>
  </si>
  <si>
    <t>O</t>
  </si>
  <si>
    <t>CANT REMEMBER THE LENGTH PUT IN LATER</t>
  </si>
  <si>
    <t>e</t>
  </si>
  <si>
    <t>test 1, greater than a/2, LENGTH</t>
  </si>
  <si>
    <t>look this up and change it for later, Young's of Pine</t>
  </si>
  <si>
    <t>beta</t>
  </si>
  <si>
    <t>look up, depends on the ratio of width to depth</t>
  </si>
  <si>
    <t>r</t>
  </si>
  <si>
    <t>make sure long side is cubed</t>
  </si>
  <si>
    <t>G</t>
  </si>
  <si>
    <t>K_tor</t>
  </si>
  <si>
    <t>P/theta, halves taken into account</t>
  </si>
  <si>
    <t>delta_bend</t>
  </si>
  <si>
    <t>alpha_twist</t>
  </si>
  <si>
    <t>relate theta to a delfection</t>
  </si>
  <si>
    <t>FIX THE LENGHTS!!!!! THEIR UNITS</t>
  </si>
  <si>
    <t>POST</t>
  </si>
  <si>
    <t>AXLE</t>
  </si>
  <si>
    <t>PLATES</t>
  </si>
  <si>
    <t>Include weight of materials into load calcylations</t>
  </si>
  <si>
    <t>K_tension</t>
  </si>
  <si>
    <t>tension component</t>
  </si>
  <si>
    <t>P1</t>
  </si>
  <si>
    <t>P2</t>
  </si>
  <si>
    <t>delta_tip</t>
  </si>
  <si>
    <t>[Pa]</t>
  </si>
  <si>
    <t>cross-sectional [width]</t>
  </si>
  <si>
    <t>cross-sectional [height]</t>
  </si>
  <si>
    <t>moment of inertia of diagonal</t>
  </si>
  <si>
    <t>silder keeper height [mm]</t>
  </si>
  <si>
    <t>slider short side [mm]</t>
  </si>
  <si>
    <t>teflon height [mm]</t>
  </si>
  <si>
    <t>characteristic length of the beam [mm]</t>
  </si>
  <si>
    <t>depth [mm]</t>
  </si>
  <si>
    <t>moment of inertia</t>
  </si>
  <si>
    <t>ratio for beta</t>
  </si>
  <si>
    <t>shear stiffness [mm]</t>
  </si>
  <si>
    <t>K_compression</t>
  </si>
  <si>
    <t>lead</t>
  </si>
  <si>
    <t>shaft_diameter</t>
  </si>
  <si>
    <t>Shaft Diameter, buckling&gt;8mm</t>
  </si>
  <si>
    <t>l1</t>
  </si>
  <si>
    <t>Spring constang</t>
  </si>
  <si>
    <t>N/A</t>
  </si>
  <si>
    <t>Negligible bending contribution</t>
  </si>
  <si>
    <t>Young's Modulus [N/mm^2]</t>
  </si>
  <si>
    <t>stiffness</t>
  </si>
  <si>
    <t>N/mm^2</t>
  </si>
  <si>
    <t>Young's modulus, steel</t>
  </si>
  <si>
    <t>Axis_error_apportionment_estimator.xls</t>
  </si>
  <si>
    <t>To apportion errors between types and axes</t>
  </si>
  <si>
    <t>By Alex Slocum, last modified AHS 2013.03.14</t>
  </si>
  <si>
    <r>
      <t xml:space="preserve">Enter numbers in </t>
    </r>
    <r>
      <rPr>
        <b/>
        <sz val="10"/>
        <rFont val="Times New Roman"/>
        <family val="1"/>
      </rPr>
      <t>BOLD,</t>
    </r>
    <r>
      <rPr>
        <sz val="10"/>
        <rFont val="Times New Roman"/>
        <family val="1"/>
      </rPr>
      <t xml:space="preserve"> Results in </t>
    </r>
    <r>
      <rPr>
        <b/>
        <sz val="10"/>
        <color indexed="10"/>
        <rFont val="Times New Roman"/>
        <family val="1"/>
      </rPr>
      <t>RED</t>
    </r>
  </si>
  <si>
    <t>Number of axes, N</t>
  </si>
  <si>
    <t>Total allowable error, dtot (microns)</t>
  </si>
  <si>
    <t>Apportion of error within each axis (amount allocated to each of X, Y, Z directions) to be determined by sensitive directions</t>
  </si>
  <si>
    <t>Bearings (fb)</t>
  </si>
  <si>
    <t>Structure (fs)</t>
  </si>
  <si>
    <t>Actuator (fa)</t>
  </si>
  <si>
    <t>Sensor (fs)</t>
  </si>
  <si>
    <t>Cables (fc)</t>
  </si>
  <si>
    <t>Source of error</t>
  </si>
  <si>
    <t>Factor (f)</t>
  </si>
  <si>
    <t>Apportion of error (dtot/f)</t>
  </si>
  <si>
    <t>Apportion of error per axis</t>
  </si>
  <si>
    <t>Based on linear sum of errors</t>
  </si>
  <si>
    <t>Geometric, fg</t>
  </si>
  <si>
    <t>Thermal, ft</t>
  </si>
  <si>
    <t>Load-induced (deflection), fl</t>
  </si>
  <si>
    <t>Process, fp</t>
  </si>
  <si>
    <t>Based on root square sum of errors</t>
  </si>
  <si>
    <t>Average (expected case) of linear and RSS</t>
  </si>
  <si>
    <t>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</si>
</sst>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i/>
      <sz val="10"/>
      <name val="Arial"/>
    </font>
    <font>
      <sz val="10"/>
      <color rgb="FFFF000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57">
    <xf numFmtId="0" fontId="0" fillId="0" borderId="0" xfId="0"/>
    <xf numFmtId="0" fontId="1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0" fillId="3" borderId="2" xfId="0" applyFill="1" applyBorder="1"/>
    <xf numFmtId="0" fontId="0" fillId="0" borderId="0" xfId="0" applyFill="1" applyBorder="1"/>
    <xf numFmtId="0" fontId="0" fillId="2" borderId="2" xfId="0" applyFill="1" applyBorder="1"/>
    <xf numFmtId="0" fontId="0" fillId="0" borderId="0" xfId="0" applyBorder="1"/>
    <xf numFmtId="165" fontId="0" fillId="2" borderId="1" xfId="0" applyNumberFormat="1" applyFill="1" applyBorder="1"/>
    <xf numFmtId="2" fontId="0" fillId="2" borderId="1" xfId="0" applyNumberFormat="1" applyFill="1" applyBorder="1"/>
    <xf numFmtId="164" fontId="0" fillId="3" borderId="1" xfId="0" applyNumberFormat="1" applyFill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11" fontId="0" fillId="5" borderId="1" xfId="0" applyNumberFormat="1" applyFill="1" applyBorder="1"/>
    <xf numFmtId="0" fontId="0" fillId="5" borderId="4" xfId="0" applyFill="1" applyBorder="1"/>
    <xf numFmtId="0" fontId="0" fillId="4" borderId="0" xfId="0" applyFill="1"/>
    <xf numFmtId="0" fontId="0" fillId="4" borderId="3" xfId="0" applyFill="1" applyBorder="1"/>
    <xf numFmtId="0" fontId="0" fillId="6" borderId="0" xfId="0" applyFill="1"/>
    <xf numFmtId="0" fontId="0" fillId="6" borderId="1" xfId="0" applyFill="1" applyBorder="1"/>
    <xf numFmtId="0" fontId="2" fillId="0" borderId="0" xfId="0" applyFont="1"/>
    <xf numFmtId="11" fontId="0" fillId="6" borderId="1" xfId="0" applyNumberForma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0" fillId="7" borderId="1" xfId="0" applyFill="1" applyBorder="1"/>
    <xf numFmtId="1" fontId="0" fillId="7" borderId="1" xfId="0" applyNumberFormat="1" applyFill="1" applyBorder="1"/>
    <xf numFmtId="0" fontId="0" fillId="7" borderId="3" xfId="0" applyFill="1" applyBorder="1"/>
    <xf numFmtId="11" fontId="0" fillId="7" borderId="1" xfId="0" applyNumberFormat="1" applyFill="1" applyBorder="1"/>
    <xf numFmtId="0" fontId="6" fillId="0" borderId="1" xfId="65" applyFont="1" applyBorder="1" applyAlignment="1">
      <alignment horizontal="center"/>
    </xf>
    <xf numFmtId="0" fontId="5" fillId="0" borderId="0" xfId="65"/>
    <xf numFmtId="0" fontId="7" fillId="0" borderId="1" xfId="65" applyFont="1" applyBorder="1" applyAlignment="1">
      <alignment horizontal="center"/>
    </xf>
    <xf numFmtId="0" fontId="5" fillId="0" borderId="1" xfId="65" applyBorder="1"/>
    <xf numFmtId="0" fontId="9" fillId="0" borderId="1" xfId="65" applyFont="1" applyBorder="1"/>
    <xf numFmtId="0" fontId="5" fillId="0" borderId="1" xfId="65" applyBorder="1" applyAlignment="1">
      <alignment horizontal="center" wrapText="1"/>
    </xf>
    <xf numFmtId="0" fontId="5" fillId="0" borderId="1" xfId="65" applyBorder="1" applyAlignment="1">
      <alignment horizontal="center"/>
    </xf>
    <xf numFmtId="0" fontId="5" fillId="0" borderId="1" xfId="65" applyFill="1" applyBorder="1" applyAlignment="1">
      <alignment horizontal="center"/>
    </xf>
    <xf numFmtId="0" fontId="5" fillId="0" borderId="1" xfId="65" applyBorder="1" applyAlignment="1">
      <alignment horizontal="center" wrapText="1"/>
    </xf>
    <xf numFmtId="0" fontId="5" fillId="0" borderId="1" xfId="65" applyBorder="1" applyAlignment="1">
      <alignment wrapText="1"/>
    </xf>
    <xf numFmtId="0" fontId="10" fillId="8" borderId="2" xfId="65" applyFont="1" applyFill="1" applyBorder="1" applyAlignment="1">
      <alignment horizontal="center"/>
    </xf>
    <xf numFmtId="0" fontId="10" fillId="8" borderId="5" xfId="65" applyFont="1" applyFill="1" applyBorder="1" applyAlignment="1">
      <alignment horizontal="center"/>
    </xf>
    <xf numFmtId="0" fontId="5" fillId="0" borderId="1" xfId="65" applyBorder="1" applyAlignment="1">
      <alignment horizontal="right"/>
    </xf>
    <xf numFmtId="165" fontId="11" fillId="0" borderId="1" xfId="65" applyNumberFormat="1" applyFont="1" applyBorder="1"/>
    <xf numFmtId="0" fontId="10" fillId="9" borderId="2" xfId="65" applyFont="1" applyFill="1" applyBorder="1" applyAlignment="1">
      <alignment horizontal="center"/>
    </xf>
    <xf numFmtId="0" fontId="10" fillId="9" borderId="5" xfId="65" applyFont="1" applyFill="1" applyBorder="1" applyAlignment="1">
      <alignment horizontal="center"/>
    </xf>
    <xf numFmtId="0" fontId="11" fillId="0" borderId="1" xfId="65" applyFont="1" applyBorder="1" applyAlignment="1">
      <alignment horizontal="right"/>
    </xf>
    <xf numFmtId="165" fontId="11" fillId="0" borderId="1" xfId="65" applyNumberFormat="1" applyFont="1" applyBorder="1" applyAlignment="1">
      <alignment horizontal="right"/>
    </xf>
    <xf numFmtId="0" fontId="5" fillId="10" borderId="1" xfId="65" applyFill="1" applyBorder="1"/>
    <xf numFmtId="0" fontId="5" fillId="10" borderId="1" xfId="65" applyFill="1" applyBorder="1" applyAlignment="1">
      <alignment horizontal="center"/>
    </xf>
    <xf numFmtId="0" fontId="11" fillId="0" borderId="1" xfId="65" applyFont="1" applyBorder="1"/>
    <xf numFmtId="0" fontId="0" fillId="2" borderId="6" xfId="0" applyFill="1" applyBorder="1"/>
    <xf numFmtId="11" fontId="0" fillId="0" borderId="0" xfId="0" applyNumberForma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2" xfId="6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10" zoomScaleNormal="110" zoomScalePageLayoutView="110" workbookViewId="0">
      <selection activeCell="C14" sqref="C14"/>
    </sheetView>
  </sheetViews>
  <sheetFormatPr baseColWidth="10" defaultColWidth="8.83203125" defaultRowHeight="12" x14ac:dyDescent="0"/>
  <cols>
    <col min="1" max="1" width="27.33203125" style="35" customWidth="1"/>
    <col min="2" max="2" width="6.1640625" style="35" customWidth="1"/>
    <col min="3" max="3" width="11" style="35" customWidth="1"/>
    <col min="4" max="4" width="12.5" style="35" customWidth="1"/>
    <col min="5" max="5" width="11.5" style="35" bestFit="1" customWidth="1"/>
    <col min="6" max="6" width="11.6640625" style="35" bestFit="1" customWidth="1"/>
    <col min="7" max="7" width="11.1640625" style="35" bestFit="1" customWidth="1"/>
    <col min="8" max="8" width="10" style="35" bestFit="1" customWidth="1"/>
    <col min="9" max="9" width="9.83203125" style="35" bestFit="1" customWidth="1"/>
    <col min="10" max="16384" width="8.83203125" style="35"/>
  </cols>
  <sheetData>
    <row r="1" spans="1:9">
      <c r="A1" s="34" t="s">
        <v>105</v>
      </c>
      <c r="B1" s="34"/>
      <c r="C1" s="34"/>
      <c r="D1" s="34"/>
      <c r="E1" s="34"/>
      <c r="F1" s="34"/>
      <c r="G1" s="34"/>
      <c r="H1" s="34"/>
      <c r="I1" s="34"/>
    </row>
    <row r="2" spans="1:9">
      <c r="A2" s="36" t="s">
        <v>106</v>
      </c>
      <c r="B2" s="36"/>
      <c r="C2" s="36"/>
      <c r="D2" s="36"/>
      <c r="E2" s="36"/>
      <c r="F2" s="36"/>
      <c r="G2" s="36"/>
      <c r="H2" s="36"/>
      <c r="I2" s="36"/>
    </row>
    <row r="3" spans="1:9">
      <c r="A3" s="36" t="s">
        <v>107</v>
      </c>
      <c r="B3" s="36"/>
      <c r="C3" s="36"/>
      <c r="D3" s="36"/>
      <c r="E3" s="36"/>
      <c r="F3" s="36"/>
      <c r="G3" s="36"/>
      <c r="H3" s="36"/>
      <c r="I3" s="36"/>
    </row>
    <row r="4" spans="1:9">
      <c r="A4" s="36" t="s">
        <v>108</v>
      </c>
      <c r="B4" s="36"/>
      <c r="C4" s="36"/>
      <c r="D4" s="36"/>
      <c r="E4" s="36"/>
      <c r="F4" s="36"/>
      <c r="G4" s="36"/>
      <c r="H4" s="36"/>
      <c r="I4" s="36"/>
    </row>
    <row r="5" spans="1:9">
      <c r="A5" s="37" t="s">
        <v>109</v>
      </c>
      <c r="B5" s="38">
        <v>3</v>
      </c>
      <c r="C5" s="37"/>
      <c r="D5" s="37"/>
      <c r="E5" s="37"/>
      <c r="F5" s="37"/>
      <c r="G5" s="37"/>
      <c r="H5" s="37"/>
      <c r="I5" s="37"/>
    </row>
    <row r="6" spans="1:9">
      <c r="A6" s="37" t="s">
        <v>110</v>
      </c>
      <c r="B6" s="38">
        <v>2000</v>
      </c>
      <c r="C6" s="37"/>
      <c r="D6" s="37"/>
      <c r="E6" s="37"/>
      <c r="F6" s="37"/>
      <c r="G6" s="37"/>
      <c r="H6" s="37"/>
      <c r="I6" s="37"/>
    </row>
    <row r="7" spans="1:9">
      <c r="A7" s="37"/>
      <c r="B7" s="37"/>
      <c r="C7" s="37"/>
      <c r="D7" s="37"/>
      <c r="E7" s="37"/>
      <c r="F7" s="37"/>
      <c r="G7" s="37"/>
      <c r="H7" s="37"/>
      <c r="I7" s="37"/>
    </row>
    <row r="8" spans="1:9" ht="27.75" customHeight="1">
      <c r="A8" s="37"/>
      <c r="B8" s="37"/>
      <c r="C8" s="37"/>
      <c r="D8" s="37"/>
      <c r="E8" s="39" t="s">
        <v>111</v>
      </c>
      <c r="F8" s="39"/>
      <c r="G8" s="39"/>
      <c r="H8" s="39"/>
      <c r="I8" s="39"/>
    </row>
    <row r="9" spans="1:9">
      <c r="A9" s="37"/>
      <c r="B9" s="37"/>
      <c r="C9" s="37"/>
      <c r="D9" s="37"/>
      <c r="E9" s="40" t="s">
        <v>112</v>
      </c>
      <c r="F9" s="40" t="s">
        <v>113</v>
      </c>
      <c r="G9" s="40" t="s">
        <v>114</v>
      </c>
      <c r="H9" s="40" t="s">
        <v>115</v>
      </c>
      <c r="I9" s="41" t="s">
        <v>116</v>
      </c>
    </row>
    <row r="10" spans="1:9" ht="24">
      <c r="A10" s="37" t="s">
        <v>117</v>
      </c>
      <c r="B10" s="42" t="s">
        <v>118</v>
      </c>
      <c r="C10" s="43" t="s">
        <v>119</v>
      </c>
      <c r="D10" s="43" t="s">
        <v>120</v>
      </c>
      <c r="E10" s="40">
        <v>1</v>
      </c>
      <c r="F10" s="40">
        <v>0.5</v>
      </c>
      <c r="G10" s="40">
        <v>0.4</v>
      </c>
      <c r="H10" s="40">
        <v>0.1</v>
      </c>
      <c r="I10" s="41">
        <v>0</v>
      </c>
    </row>
    <row r="11" spans="1:9">
      <c r="A11" s="44" t="s">
        <v>121</v>
      </c>
      <c r="B11" s="45"/>
      <c r="C11" s="45"/>
      <c r="D11" s="45"/>
      <c r="E11" s="45"/>
      <c r="F11" s="45"/>
      <c r="G11" s="45"/>
      <c r="H11" s="45"/>
      <c r="I11" s="45"/>
    </row>
    <row r="12" spans="1:9">
      <c r="A12" s="46" t="s">
        <v>122</v>
      </c>
      <c r="B12" s="37">
        <v>1</v>
      </c>
      <c r="C12" s="47">
        <f>dtot*fg/(fg+ft+fl+fp)</f>
        <v>1000</v>
      </c>
      <c r="D12" s="47">
        <f>C12/N</f>
        <v>333.33333333333331</v>
      </c>
      <c r="E12" s="47">
        <f>$D12*$E$10/(SUM($E$10:$I$10))</f>
        <v>166.66666666666666</v>
      </c>
      <c r="F12" s="47">
        <f>$D12*$F$10/(SUM($E$10:$I$10))</f>
        <v>83.333333333333329</v>
      </c>
      <c r="G12" s="47">
        <f>$D12*$G$10/(SUM($E$10:$I$10))</f>
        <v>66.666666666666671</v>
      </c>
      <c r="H12" s="47">
        <f>$D12*$H$10/(SUM($E$10:$I$10))</f>
        <v>16.666666666666668</v>
      </c>
      <c r="I12" s="47">
        <f>$D12*$I$10/(SUM($E$10:$I$10))</f>
        <v>0</v>
      </c>
    </row>
    <row r="13" spans="1:9">
      <c r="A13" s="46" t="s">
        <v>123</v>
      </c>
      <c r="B13" s="37">
        <v>0</v>
      </c>
      <c r="C13" s="47">
        <f>dtot*ft/(fg+ft+fl+fp)</f>
        <v>0</v>
      </c>
      <c r="D13" s="47">
        <f>C13/N</f>
        <v>0</v>
      </c>
      <c r="E13" s="47">
        <f>$D13*$E$10/(SUM($E$10:$I$10))</f>
        <v>0</v>
      </c>
      <c r="F13" s="47">
        <f>$D13*$F$10/(SUM($E$10:$I$10))</f>
        <v>0</v>
      </c>
      <c r="G13" s="47">
        <f>$D13*$G$10/(SUM($E$10:$I$10))</f>
        <v>0</v>
      </c>
      <c r="H13" s="47">
        <f>$D13*$H$10/(SUM($E$10:$I$10))</f>
        <v>0</v>
      </c>
      <c r="I13" s="47">
        <f>$D13*$I$10/(SUM($E$10:$I$10))</f>
        <v>0</v>
      </c>
    </row>
    <row r="14" spans="1:9">
      <c r="A14" s="46" t="s">
        <v>124</v>
      </c>
      <c r="B14" s="37">
        <v>1</v>
      </c>
      <c r="C14" s="47">
        <f>dtot*fl/(fg+ft+fl+fp)</f>
        <v>1000</v>
      </c>
      <c r="D14" s="47">
        <f>C14/N</f>
        <v>333.33333333333331</v>
      </c>
      <c r="E14" s="47">
        <f>$D14*$E$10/(SUM($E$10:$I$10))</f>
        <v>166.66666666666666</v>
      </c>
      <c r="F14" s="47">
        <f>$D14*$F$10/(SUM($E$10:$I$10))</f>
        <v>83.333333333333329</v>
      </c>
      <c r="G14" s="47">
        <f>$D14*$G$10/(SUM($E$10:$I$10))</f>
        <v>66.666666666666671</v>
      </c>
      <c r="H14" s="47">
        <f>$D14*$H$10/(SUM($E$10:$I$10))</f>
        <v>16.666666666666668</v>
      </c>
      <c r="I14" s="47">
        <f>$D14*$I$10/(SUM($E$10:$I$10))</f>
        <v>0</v>
      </c>
    </row>
    <row r="15" spans="1:9">
      <c r="A15" s="46" t="s">
        <v>125</v>
      </c>
      <c r="B15" s="37">
        <v>0</v>
      </c>
      <c r="C15" s="47">
        <f>dtot*fp/(fg+ft+fl+fp)</f>
        <v>0</v>
      </c>
      <c r="D15" s="47">
        <f>C15/N</f>
        <v>0</v>
      </c>
      <c r="E15" s="47">
        <f>$D15*$E$10/(SUM($E$10:$I$10))</f>
        <v>0</v>
      </c>
      <c r="F15" s="47">
        <f>$D15*$F$10/(SUM($E$10:$I$10))</f>
        <v>0</v>
      </c>
      <c r="G15" s="47">
        <f>$D15*$G$10/(SUM($E$10:$I$10))</f>
        <v>0</v>
      </c>
      <c r="H15" s="47">
        <f>$D15*$H$10/(SUM($E$10:$I$10))</f>
        <v>0</v>
      </c>
      <c r="I15" s="47">
        <f>$D15*$I$10/(SUM($E$10:$I$10))</f>
        <v>0</v>
      </c>
    </row>
    <row r="17" spans="1:9">
      <c r="A17" s="48" t="s">
        <v>126</v>
      </c>
      <c r="B17" s="49"/>
      <c r="C17" s="49"/>
      <c r="D17" s="49"/>
      <c r="E17" s="49"/>
      <c r="F17" s="49"/>
      <c r="G17" s="49"/>
      <c r="H17" s="49"/>
      <c r="I17" s="49"/>
    </row>
    <row r="18" spans="1:9">
      <c r="A18" s="50" t="str">
        <f t="shared" ref="A18:B21" si="0">A12</f>
        <v>Geometric, fg</v>
      </c>
      <c r="B18" s="50">
        <f t="shared" si="0"/>
        <v>1</v>
      </c>
      <c r="C18" s="51">
        <f>dtot*fg/SQRT(fg^2+ft^2+fl^2+fp^2)</f>
        <v>1414.2135623730949</v>
      </c>
      <c r="D18" s="51">
        <f>C18/SQRT(N)</f>
        <v>816.49658092772597</v>
      </c>
      <c r="E18" s="51">
        <f>$D18*E$10/SQRT($E$10^2+$F$10^2+$G$10^2+$H$10^2+$I$10^2)</f>
        <v>685.18870982753151</v>
      </c>
      <c r="F18" s="51">
        <f t="shared" ref="F18:I21" si="1">$D18*F$10/SQRT($E$10^2+$F$10^2+$G$10^2+$H$10^2+$I$10^2)</f>
        <v>342.59435491376576</v>
      </c>
      <c r="G18" s="51">
        <f t="shared" si="1"/>
        <v>274.07548393101263</v>
      </c>
      <c r="H18" s="51">
        <f t="shared" si="1"/>
        <v>68.518870982753157</v>
      </c>
      <c r="I18" s="51">
        <f t="shared" si="1"/>
        <v>0</v>
      </c>
    </row>
    <row r="19" spans="1:9">
      <c r="A19" s="50" t="str">
        <f t="shared" si="0"/>
        <v>Thermal, ft</v>
      </c>
      <c r="B19" s="50">
        <f t="shared" si="0"/>
        <v>0</v>
      </c>
      <c r="C19" s="51">
        <f>dtot*ft/SQRT(fg^2+ft^2+fl^2+fp^2)</f>
        <v>0</v>
      </c>
      <c r="D19" s="51">
        <f>C19/SQRT(N)</f>
        <v>0</v>
      </c>
      <c r="E19" s="51">
        <f>$D19*E$10/SQRT($E$10^2+$F$10^2+$G$10^2+$H$10^2+$I$10^2)</f>
        <v>0</v>
      </c>
      <c r="F19" s="51">
        <f t="shared" si="1"/>
        <v>0</v>
      </c>
      <c r="G19" s="51">
        <f t="shared" si="1"/>
        <v>0</v>
      </c>
      <c r="H19" s="51">
        <f t="shared" si="1"/>
        <v>0</v>
      </c>
      <c r="I19" s="51">
        <f t="shared" si="1"/>
        <v>0</v>
      </c>
    </row>
    <row r="20" spans="1:9">
      <c r="A20" s="50" t="str">
        <f t="shared" si="0"/>
        <v>Load-induced (deflection), fl</v>
      </c>
      <c r="B20" s="50">
        <f t="shared" si="0"/>
        <v>1</v>
      </c>
      <c r="C20" s="51">
        <f>dtot*fl/SQRT(fg^2+ft^2+fl^2+fp^2)</f>
        <v>1414.2135623730949</v>
      </c>
      <c r="D20" s="51">
        <f>C20/SQRT(N)</f>
        <v>816.49658092772597</v>
      </c>
      <c r="E20" s="51">
        <f>$D20*E$10/SQRT($E$10^2+$F$10^2+$G$10^2+$H$10^2+$I$10^2)</f>
        <v>685.18870982753151</v>
      </c>
      <c r="F20" s="51">
        <f t="shared" si="1"/>
        <v>342.59435491376576</v>
      </c>
      <c r="G20" s="51">
        <f t="shared" si="1"/>
        <v>274.07548393101263</v>
      </c>
      <c r="H20" s="51">
        <f t="shared" si="1"/>
        <v>68.518870982753157</v>
      </c>
      <c r="I20" s="51">
        <f t="shared" si="1"/>
        <v>0</v>
      </c>
    </row>
    <row r="21" spans="1:9">
      <c r="A21" s="50" t="str">
        <f t="shared" si="0"/>
        <v>Process, fp</v>
      </c>
      <c r="B21" s="50">
        <f t="shared" si="0"/>
        <v>0</v>
      </c>
      <c r="C21" s="51">
        <f>dtot*fp/SQRT(fg^2+ft^2+fl^2+fp^2)</f>
        <v>0</v>
      </c>
      <c r="D21" s="51">
        <f>C21/SQRT(N)</f>
        <v>0</v>
      </c>
      <c r="E21" s="51">
        <f>$D21*E$10/SQRT($E$10^2+$F$10^2+$G$10^2+$H$10^2+$I$10^2)</f>
        <v>0</v>
      </c>
      <c r="F21" s="51">
        <f t="shared" si="1"/>
        <v>0</v>
      </c>
      <c r="G21" s="51">
        <f t="shared" si="1"/>
        <v>0</v>
      </c>
      <c r="H21" s="51">
        <f t="shared" si="1"/>
        <v>0</v>
      </c>
      <c r="I21" s="51">
        <f t="shared" si="1"/>
        <v>0</v>
      </c>
    </row>
    <row r="23" spans="1:9">
      <c r="A23" s="52"/>
      <c r="B23" s="53" t="s">
        <v>127</v>
      </c>
      <c r="C23" s="53"/>
      <c r="D23" s="53"/>
      <c r="E23" s="53"/>
      <c r="F23" s="53"/>
      <c r="G23" s="53"/>
      <c r="H23" s="53"/>
      <c r="I23" s="53"/>
    </row>
    <row r="24" spans="1:9">
      <c r="A24" s="50" t="str">
        <f t="shared" ref="A24:B27" si="2">A18</f>
        <v>Geometric, fg</v>
      </c>
      <c r="B24" s="54">
        <f t="shared" si="2"/>
        <v>1</v>
      </c>
      <c r="C24" s="47">
        <f>(C12+C18)/2</f>
        <v>1207.1067811865473</v>
      </c>
      <c r="D24" s="47">
        <f t="shared" ref="D24:I24" si="3">(D12+D18)/2</f>
        <v>574.91495713052961</v>
      </c>
      <c r="E24" s="47">
        <f t="shared" si="3"/>
        <v>425.92768824709907</v>
      </c>
      <c r="F24" s="47">
        <f t="shared" si="3"/>
        <v>212.96384412354953</v>
      </c>
      <c r="G24" s="47">
        <f t="shared" si="3"/>
        <v>170.37107529883966</v>
      </c>
      <c r="H24" s="47">
        <f t="shared" si="3"/>
        <v>42.592768824709914</v>
      </c>
      <c r="I24" s="47">
        <f t="shared" si="3"/>
        <v>0</v>
      </c>
    </row>
    <row r="25" spans="1:9">
      <c r="A25" s="50" t="str">
        <f t="shared" si="2"/>
        <v>Thermal, ft</v>
      </c>
      <c r="B25" s="54">
        <f t="shared" si="2"/>
        <v>0</v>
      </c>
      <c r="C25" s="47">
        <f t="shared" ref="C25:I27" si="4">(C13+C19)/2</f>
        <v>0</v>
      </c>
      <c r="D25" s="47">
        <f t="shared" si="4"/>
        <v>0</v>
      </c>
      <c r="E25" s="47">
        <f t="shared" si="4"/>
        <v>0</v>
      </c>
      <c r="F25" s="47">
        <f t="shared" si="4"/>
        <v>0</v>
      </c>
      <c r="G25" s="47">
        <f t="shared" si="4"/>
        <v>0</v>
      </c>
      <c r="H25" s="47">
        <f t="shared" si="4"/>
        <v>0</v>
      </c>
      <c r="I25" s="47">
        <f t="shared" si="4"/>
        <v>0</v>
      </c>
    </row>
    <row r="26" spans="1:9">
      <c r="A26" s="50" t="str">
        <f t="shared" si="2"/>
        <v>Load-induced (deflection), fl</v>
      </c>
      <c r="B26" s="54">
        <f t="shared" si="2"/>
        <v>1</v>
      </c>
      <c r="C26" s="47">
        <f t="shared" si="4"/>
        <v>1207.1067811865473</v>
      </c>
      <c r="D26" s="47">
        <f t="shared" si="4"/>
        <v>574.91495713052961</v>
      </c>
      <c r="E26" s="47">
        <f t="shared" si="4"/>
        <v>425.92768824709907</v>
      </c>
      <c r="F26" s="47">
        <f t="shared" si="4"/>
        <v>212.96384412354953</v>
      </c>
      <c r="G26" s="47">
        <f t="shared" si="4"/>
        <v>170.37107529883966</v>
      </c>
      <c r="H26" s="47">
        <f t="shared" si="4"/>
        <v>42.592768824709914</v>
      </c>
      <c r="I26" s="47">
        <f t="shared" si="4"/>
        <v>0</v>
      </c>
    </row>
    <row r="27" spans="1:9">
      <c r="A27" s="50" t="str">
        <f t="shared" si="2"/>
        <v>Process, fp</v>
      </c>
      <c r="B27" s="54">
        <f t="shared" si="2"/>
        <v>0</v>
      </c>
      <c r="C27" s="47">
        <f t="shared" si="4"/>
        <v>0</v>
      </c>
      <c r="D27" s="47">
        <f t="shared" si="4"/>
        <v>0</v>
      </c>
      <c r="E27" s="47">
        <f t="shared" si="4"/>
        <v>0</v>
      </c>
      <c r="F27" s="47">
        <f t="shared" si="4"/>
        <v>0</v>
      </c>
      <c r="G27" s="47">
        <f t="shared" si="4"/>
        <v>0</v>
      </c>
      <c r="H27" s="47">
        <f t="shared" si="4"/>
        <v>0</v>
      </c>
      <c r="I27" s="47">
        <f t="shared" si="4"/>
        <v>0</v>
      </c>
    </row>
  </sheetData>
  <mergeCells count="8">
    <mergeCell ref="A17:I17"/>
    <mergeCell ref="B23:I23"/>
    <mergeCell ref="A1:I1"/>
    <mergeCell ref="A2:I2"/>
    <mergeCell ref="A3:I3"/>
    <mergeCell ref="A4:I4"/>
    <mergeCell ref="E8:I8"/>
    <mergeCell ref="A11:I11"/>
  </mergeCell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selection activeCell="I11" sqref="I11"/>
    </sheetView>
  </sheetViews>
  <sheetFormatPr baseColWidth="10" defaultRowHeight="15" x14ac:dyDescent="0"/>
  <cols>
    <col min="2" max="2" width="12.83203125" bestFit="1" customWidth="1"/>
    <col min="4" max="4" width="19" customWidth="1"/>
    <col min="6" max="6" width="12.1640625" bestFit="1" customWidth="1"/>
    <col min="7" max="7" width="22.1640625" bestFit="1" customWidth="1"/>
    <col min="10" max="10" width="14.1640625" customWidth="1"/>
  </cols>
  <sheetData>
    <row r="1" spans="1:11">
      <c r="A1" s="2" t="s">
        <v>0</v>
      </c>
      <c r="B1" s="2"/>
      <c r="C1" s="2"/>
      <c r="D1" s="2"/>
      <c r="E1" s="2"/>
      <c r="F1" s="2"/>
      <c r="G1" s="2"/>
      <c r="I1" s="1" t="s">
        <v>33</v>
      </c>
    </row>
    <row r="2" spans="1:11">
      <c r="A2" s="3" t="s">
        <v>13</v>
      </c>
      <c r="B2" s="2"/>
      <c r="C2" s="2"/>
      <c r="D2" s="2"/>
      <c r="E2" s="2" t="s">
        <v>39</v>
      </c>
      <c r="F2" s="2">
        <v>10000</v>
      </c>
      <c r="G2" s="2" t="s">
        <v>40</v>
      </c>
      <c r="I2" s="1" t="s">
        <v>75</v>
      </c>
    </row>
    <row r="3" spans="1:11">
      <c r="A3" s="2" t="s">
        <v>1</v>
      </c>
      <c r="B3" s="2">
        <v>350</v>
      </c>
      <c r="C3" s="2" t="s">
        <v>7</v>
      </c>
      <c r="D3" s="2"/>
      <c r="E3" s="2" t="s">
        <v>21</v>
      </c>
      <c r="F3" s="12">
        <f>F2/(B8+B21+B22)</f>
        <v>2.7092776818409183E-2</v>
      </c>
      <c r="G3" s="2" t="s">
        <v>41</v>
      </c>
    </row>
    <row r="4" spans="1:11">
      <c r="A4" s="2" t="s">
        <v>2</v>
      </c>
      <c r="B4" s="2">
        <v>500</v>
      </c>
      <c r="C4" s="2" t="s">
        <v>6</v>
      </c>
      <c r="D4" s="2"/>
      <c r="E4" s="30" t="s">
        <v>102</v>
      </c>
      <c r="F4" s="31">
        <f>B8+2*(B21+B22)</f>
        <v>738150.39191864524</v>
      </c>
      <c r="G4" s="30" t="s">
        <v>103</v>
      </c>
      <c r="I4" t="s">
        <v>21</v>
      </c>
      <c r="J4" s="56">
        <f>F2/(F4+F41+F60)</f>
        <v>3.1651105949962286E-3</v>
      </c>
      <c r="K4" t="s">
        <v>128</v>
      </c>
    </row>
    <row r="5" spans="1:11">
      <c r="A5" s="2" t="s">
        <v>3</v>
      </c>
      <c r="B5" s="2">
        <v>12.7</v>
      </c>
      <c r="C5" s="2" t="s">
        <v>5</v>
      </c>
      <c r="D5" s="2"/>
      <c r="E5" s="2" t="s">
        <v>28</v>
      </c>
      <c r="F5" s="2"/>
      <c r="G5" s="2"/>
    </row>
    <row r="6" spans="1:11">
      <c r="A6" s="2"/>
      <c r="B6" s="2"/>
      <c r="C6" s="2"/>
      <c r="D6" s="10"/>
      <c r="E6" s="55"/>
      <c r="F6" s="9"/>
      <c r="G6" s="9"/>
      <c r="H6" s="11"/>
    </row>
    <row r="7" spans="1:11">
      <c r="A7" s="2" t="s">
        <v>8</v>
      </c>
      <c r="B7" s="2">
        <f>9000000000/(1000^2)</f>
        <v>9000</v>
      </c>
      <c r="C7" s="2" t="s">
        <v>101</v>
      </c>
      <c r="D7" s="10"/>
      <c r="E7" s="9"/>
      <c r="F7" s="9"/>
      <c r="G7" s="9"/>
      <c r="H7" s="11"/>
    </row>
    <row r="8" spans="1:11">
      <c r="A8" s="2" t="s">
        <v>9</v>
      </c>
      <c r="B8" s="12">
        <f>B7*B4*(B5^3)/(4*B3^3)</f>
        <v>53.747658892128278</v>
      </c>
      <c r="C8" s="2" t="s">
        <v>11</v>
      </c>
      <c r="D8" s="10"/>
      <c r="E8" s="9"/>
      <c r="F8" s="9"/>
      <c r="G8" s="9"/>
      <c r="H8" s="11"/>
    </row>
    <row r="9" spans="1:11">
      <c r="A9" s="2" t="s">
        <v>10</v>
      </c>
      <c r="B9" s="2">
        <f>(40*10000000)/(1000^2)</f>
        <v>400</v>
      </c>
      <c r="C9" s="2" t="s">
        <v>81</v>
      </c>
      <c r="D9" s="10"/>
      <c r="E9" s="9"/>
      <c r="F9" s="9"/>
      <c r="G9" s="9"/>
      <c r="H9" s="11"/>
    </row>
    <row r="10" spans="1:11">
      <c r="A10" s="2"/>
      <c r="B10" s="2"/>
      <c r="C10" s="2"/>
      <c r="D10" s="10"/>
      <c r="E10" s="9"/>
      <c r="F10" s="9"/>
      <c r="G10" s="9"/>
      <c r="H10" s="11"/>
    </row>
    <row r="11" spans="1:11">
      <c r="A11" s="2"/>
      <c r="B11" s="2"/>
      <c r="C11" s="2"/>
      <c r="D11" s="10"/>
      <c r="E11" s="9"/>
      <c r="F11" s="9"/>
      <c r="G11" s="9"/>
      <c r="H11" s="11"/>
    </row>
    <row r="12" spans="1:11">
      <c r="A12" s="3" t="s">
        <v>12</v>
      </c>
      <c r="B12" s="2"/>
      <c r="C12" s="2"/>
      <c r="D12" s="10"/>
      <c r="E12" s="9"/>
      <c r="F12" s="9"/>
      <c r="G12" s="9"/>
      <c r="H12" s="11"/>
    </row>
    <row r="13" spans="1:11">
      <c r="A13" s="2" t="s">
        <v>32</v>
      </c>
      <c r="B13" s="13">
        <f>SQRT(B3^2+B5^2+0.25*B4^2)</f>
        <v>430.30371831997917</v>
      </c>
      <c r="C13" s="2" t="s">
        <v>14</v>
      </c>
      <c r="D13" s="10"/>
      <c r="E13" s="9"/>
      <c r="F13" s="9"/>
      <c r="G13" s="9"/>
      <c r="H13" s="11"/>
    </row>
    <row r="14" spans="1:11">
      <c r="A14" s="2" t="s">
        <v>29</v>
      </c>
      <c r="B14" s="2">
        <v>100</v>
      </c>
      <c r="C14" s="2" t="s">
        <v>82</v>
      </c>
      <c r="D14" s="10"/>
      <c r="E14" s="9"/>
      <c r="F14" s="9"/>
      <c r="G14" s="9"/>
      <c r="H14" s="11"/>
    </row>
    <row r="15" spans="1:11">
      <c r="A15" s="2" t="s">
        <v>30</v>
      </c>
      <c r="B15" s="2">
        <v>100</v>
      </c>
      <c r="C15" s="2" t="s">
        <v>83</v>
      </c>
      <c r="D15" s="10"/>
      <c r="E15" s="9"/>
      <c r="F15" s="9"/>
      <c r="G15" s="9"/>
      <c r="H15" s="11"/>
    </row>
    <row r="16" spans="1:11">
      <c r="A16" s="2" t="s">
        <v>8</v>
      </c>
      <c r="B16" s="2">
        <v>9000</v>
      </c>
      <c r="C16" s="2" t="s">
        <v>60</v>
      </c>
      <c r="D16" s="10"/>
      <c r="E16" s="9"/>
      <c r="F16" s="9"/>
      <c r="G16" s="9"/>
      <c r="H16" s="11"/>
    </row>
    <row r="17" spans="1:8">
      <c r="A17" s="2" t="s">
        <v>31</v>
      </c>
      <c r="B17" s="13">
        <f>(B14*(B15^3))/12</f>
        <v>8333333.333333333</v>
      </c>
      <c r="C17" s="2" t="s">
        <v>84</v>
      </c>
      <c r="D17" s="10"/>
      <c r="E17" s="9"/>
      <c r="F17" s="9"/>
      <c r="G17" s="9"/>
      <c r="H17" s="11"/>
    </row>
    <row r="18" spans="1:8">
      <c r="A18" s="2" t="s">
        <v>18</v>
      </c>
      <c r="B18" s="13">
        <f>DEGREES(ATAN(2*B3/B4))</f>
        <v>54.462322208025618</v>
      </c>
      <c r="C18" s="2" t="s">
        <v>15</v>
      </c>
      <c r="D18" s="10"/>
      <c r="E18" s="9"/>
      <c r="F18" s="9"/>
      <c r="G18" s="9"/>
      <c r="H18" s="11"/>
    </row>
    <row r="19" spans="1:8">
      <c r="A19" s="2" t="s">
        <v>19</v>
      </c>
      <c r="B19" s="13">
        <f>DEGREES(ATAN(B23/B3))</f>
        <v>40.601294645004472</v>
      </c>
      <c r="C19" s="2" t="s">
        <v>16</v>
      </c>
      <c r="D19" s="10"/>
      <c r="E19" s="9"/>
      <c r="F19" s="9"/>
      <c r="G19" s="9"/>
      <c r="H19" s="11"/>
    </row>
    <row r="20" spans="1:8">
      <c r="A20" s="2" t="s">
        <v>22</v>
      </c>
      <c r="B20" s="13">
        <f>ATAN(B23/SQRT(B3^2+0.25*B4^2))</f>
        <v>0.60903660984586194</v>
      </c>
      <c r="C20" s="2" t="s">
        <v>24</v>
      </c>
      <c r="D20" s="10"/>
      <c r="E20" s="9"/>
      <c r="F20" s="9"/>
      <c r="G20" s="9"/>
      <c r="H20" s="11"/>
    </row>
    <row r="21" spans="1:8">
      <c r="A21" s="2" t="s">
        <v>23</v>
      </c>
      <c r="B21" s="13">
        <f>3*B16*B17/(COS(B20)*B13^3)</f>
        <v>3443.0054020842076</v>
      </c>
      <c r="C21" s="2" t="s">
        <v>25</v>
      </c>
      <c r="D21" s="10"/>
      <c r="E21" s="9"/>
      <c r="F21" s="9"/>
      <c r="G21" s="9"/>
      <c r="H21" s="11"/>
    </row>
    <row r="22" spans="1:8">
      <c r="A22" s="2" t="s">
        <v>27</v>
      </c>
      <c r="B22" s="13">
        <f>B16*B14*B15/(SIN(B20)*B13)</f>
        <v>365605.31672779232</v>
      </c>
      <c r="C22" s="2" t="s">
        <v>26</v>
      </c>
      <c r="D22" s="10"/>
      <c r="E22" s="9"/>
      <c r="F22" s="9"/>
      <c r="G22" s="9"/>
      <c r="H22" s="11"/>
    </row>
    <row r="23" spans="1:8">
      <c r="A23" s="2" t="s">
        <v>4</v>
      </c>
      <c r="B23" s="2">
        <v>300</v>
      </c>
      <c r="C23" s="2" t="s">
        <v>17</v>
      </c>
      <c r="D23" s="10"/>
      <c r="E23" s="9"/>
      <c r="F23" s="9"/>
      <c r="G23" s="9"/>
      <c r="H23" s="11"/>
    </row>
    <row r="25" spans="1:8">
      <c r="A25" s="4" t="s">
        <v>34</v>
      </c>
      <c r="B25" s="5"/>
      <c r="C25" s="5"/>
      <c r="D25" s="5"/>
      <c r="E25" s="5"/>
      <c r="F25" s="5"/>
      <c r="G25" s="5"/>
    </row>
    <row r="26" spans="1:8">
      <c r="A26" s="5" t="s">
        <v>58</v>
      </c>
      <c r="B26" s="6">
        <f>B3/2</f>
        <v>175</v>
      </c>
      <c r="C26" s="5" t="s">
        <v>7</v>
      </c>
      <c r="D26" s="5" t="s">
        <v>59</v>
      </c>
      <c r="E26" s="5" t="s">
        <v>46</v>
      </c>
      <c r="F26" s="5"/>
      <c r="G26" s="5"/>
    </row>
    <row r="27" spans="1:8">
      <c r="A27" s="5" t="s">
        <v>35</v>
      </c>
      <c r="B27" s="6">
        <f>B4/5</f>
        <v>100</v>
      </c>
      <c r="C27" s="5" t="s">
        <v>7</v>
      </c>
      <c r="D27" s="5" t="s">
        <v>38</v>
      </c>
      <c r="E27" s="5" t="s">
        <v>21</v>
      </c>
      <c r="F27" s="5">
        <f>B3*COS(B35)</f>
        <v>349.99954385179581</v>
      </c>
      <c r="G27" s="5"/>
    </row>
    <row r="28" spans="1:8">
      <c r="A28" s="5" t="s">
        <v>20</v>
      </c>
      <c r="B28" s="6">
        <f>3*25</f>
        <v>75</v>
      </c>
      <c r="C28" s="5" t="s">
        <v>85</v>
      </c>
      <c r="D28" s="5"/>
      <c r="E28" s="32" t="s">
        <v>102</v>
      </c>
      <c r="F28" s="32" t="s">
        <v>99</v>
      </c>
      <c r="G28" s="32" t="s">
        <v>103</v>
      </c>
    </row>
    <row r="29" spans="1:8">
      <c r="A29" s="5" t="s">
        <v>36</v>
      </c>
      <c r="B29" s="6">
        <f>75</f>
        <v>75</v>
      </c>
      <c r="C29" s="5" t="s">
        <v>86</v>
      </c>
      <c r="D29" s="8"/>
      <c r="E29" s="9"/>
      <c r="F29" s="9"/>
      <c r="G29" s="9"/>
    </row>
    <row r="30" spans="1:8">
      <c r="A30" s="5" t="s">
        <v>37</v>
      </c>
      <c r="B30" s="15">
        <f>3*B31</f>
        <v>114.05179744309163</v>
      </c>
      <c r="C30" s="5" t="s">
        <v>87</v>
      </c>
      <c r="D30" s="5" t="s">
        <v>43</v>
      </c>
      <c r="E30" s="9"/>
      <c r="F30" s="9"/>
      <c r="G30" s="9"/>
    </row>
    <row r="31" spans="1:8">
      <c r="A31" s="5" t="s">
        <v>31</v>
      </c>
      <c r="B31" s="15">
        <f>B28/(COS(B32)*2)</f>
        <v>38.017265814363874</v>
      </c>
      <c r="C31" s="5" t="s">
        <v>42</v>
      </c>
      <c r="D31" s="5" t="s">
        <v>42</v>
      </c>
      <c r="E31" s="9"/>
      <c r="F31" s="9"/>
      <c r="G31" s="9"/>
    </row>
    <row r="32" spans="1:8">
      <c r="A32" s="5" t="s">
        <v>22</v>
      </c>
      <c r="B32" s="16">
        <f>ATAN((B27-B29)/(2*B28))</f>
        <v>0.16514867741462683</v>
      </c>
      <c r="C32" s="5" t="s">
        <v>49</v>
      </c>
      <c r="D32" s="8"/>
      <c r="E32" s="9"/>
      <c r="F32" s="9"/>
      <c r="G32" s="9"/>
    </row>
    <row r="33" spans="1:7">
      <c r="A33" s="5" t="s">
        <v>44</v>
      </c>
      <c r="B33" s="16">
        <v>5.0799999999999998E-2</v>
      </c>
      <c r="C33" s="5" t="s">
        <v>45</v>
      </c>
      <c r="D33" s="8"/>
      <c r="E33" s="9"/>
      <c r="F33" s="9"/>
      <c r="G33" s="9"/>
    </row>
    <row r="34" spans="1:7">
      <c r="A34" s="5" t="s">
        <v>47</v>
      </c>
      <c r="B34" s="5">
        <v>0.1</v>
      </c>
      <c r="C34" s="5" t="s">
        <v>48</v>
      </c>
      <c r="D34" s="8"/>
      <c r="E34" s="9"/>
      <c r="F34" s="9"/>
      <c r="G34" s="9"/>
    </row>
    <row r="35" spans="1:7">
      <c r="A35" s="5" t="s">
        <v>22</v>
      </c>
      <c r="B35" s="14">
        <f>SIN(2*(B34-B33)/(B26-B30))</f>
        <v>1.6144849745237085E-3</v>
      </c>
      <c r="C35" s="5" t="s">
        <v>50</v>
      </c>
      <c r="D35" s="8"/>
      <c r="E35" s="9"/>
      <c r="F35" s="9"/>
      <c r="G35" s="9"/>
    </row>
    <row r="36" spans="1:7">
      <c r="A36" s="7"/>
      <c r="E36" s="7"/>
      <c r="F36" s="7"/>
      <c r="G36" s="7"/>
    </row>
    <row r="37" spans="1:7">
      <c r="A37" s="17" t="s">
        <v>51</v>
      </c>
      <c r="B37" s="18" t="s">
        <v>52</v>
      </c>
      <c r="C37" s="18"/>
      <c r="D37" s="18"/>
      <c r="E37" s="18"/>
      <c r="F37" s="18"/>
      <c r="G37" s="19" t="s">
        <v>54</v>
      </c>
    </row>
    <row r="38" spans="1:7">
      <c r="A38" s="18" t="s">
        <v>32</v>
      </c>
      <c r="B38" s="18">
        <f>B26</f>
        <v>175</v>
      </c>
      <c r="C38" s="18" t="s">
        <v>88</v>
      </c>
      <c r="D38" s="18"/>
      <c r="E38" s="18" t="s">
        <v>39</v>
      </c>
      <c r="F38" s="18">
        <f>F2*B3/B23</f>
        <v>11666.666666666666</v>
      </c>
      <c r="G38" s="18"/>
    </row>
    <row r="39" spans="1:7">
      <c r="A39" s="18" t="s">
        <v>53</v>
      </c>
      <c r="B39" s="18">
        <f>2*B28</f>
        <v>150</v>
      </c>
      <c r="C39" s="18" t="s">
        <v>89</v>
      </c>
      <c r="D39" s="18"/>
      <c r="E39" s="18" t="s">
        <v>68</v>
      </c>
      <c r="F39" s="18">
        <f>F38/B43</f>
        <v>1.1578896604938271E-2</v>
      </c>
      <c r="G39" s="18"/>
    </row>
    <row r="40" spans="1:7">
      <c r="A40" s="18" t="s">
        <v>55</v>
      </c>
      <c r="B40" s="18">
        <f>3*B29</f>
        <v>225</v>
      </c>
      <c r="C40" s="18" t="s">
        <v>6</v>
      </c>
      <c r="D40" s="18"/>
      <c r="E40" s="18" t="s">
        <v>69</v>
      </c>
      <c r="F40" s="18">
        <f>F38/B48</f>
        <v>7.8303881984863579E-12</v>
      </c>
      <c r="G40" s="18" t="s">
        <v>70</v>
      </c>
    </row>
    <row r="41" spans="1:7">
      <c r="A41" s="18" t="s">
        <v>56</v>
      </c>
      <c r="B41" s="18">
        <v>600</v>
      </c>
      <c r="C41" s="19" t="s">
        <v>57</v>
      </c>
      <c r="D41" s="18"/>
      <c r="E41" s="30" t="s">
        <v>102</v>
      </c>
      <c r="F41" s="30">
        <f>B43</f>
        <v>1007580.1749271137</v>
      </c>
      <c r="G41" s="30" t="s">
        <v>103</v>
      </c>
    </row>
    <row r="42" spans="1:7">
      <c r="A42" s="18" t="s">
        <v>31</v>
      </c>
      <c r="B42" s="18">
        <f>(0.5*(B40-B27)*B28^3)/12</f>
        <v>2197265.625</v>
      </c>
      <c r="C42" s="18" t="s">
        <v>90</v>
      </c>
      <c r="D42" s="21"/>
      <c r="E42" s="7"/>
    </row>
    <row r="43" spans="1:7">
      <c r="A43" s="18" t="s">
        <v>23</v>
      </c>
      <c r="B43" s="18">
        <f>72*B16*B17/(B26^3)</f>
        <v>1007580.1749271137</v>
      </c>
      <c r="C43" s="19" t="s">
        <v>71</v>
      </c>
      <c r="D43" s="18"/>
      <c r="E43" s="7"/>
    </row>
    <row r="44" spans="1:7">
      <c r="A44" s="18" t="s">
        <v>63</v>
      </c>
      <c r="B44" s="18">
        <f>B28/(0.5*(B40-B27))</f>
        <v>1.2</v>
      </c>
      <c r="C44" s="18" t="s">
        <v>91</v>
      </c>
      <c r="D44" s="18"/>
      <c r="E44" s="7"/>
    </row>
    <row r="45" spans="1:7">
      <c r="A45" s="18" t="s">
        <v>61</v>
      </c>
      <c r="B45" s="18">
        <v>0.16300000000000001</v>
      </c>
      <c r="C45" s="18" t="s">
        <v>62</v>
      </c>
      <c r="D45" s="18"/>
      <c r="E45" s="7"/>
    </row>
    <row r="46" spans="1:7">
      <c r="A46" s="18" t="s">
        <v>35</v>
      </c>
      <c r="B46" s="18">
        <f>B45*B28^3*(0.5*B40-0.5*B27)</f>
        <v>4297851.5625</v>
      </c>
      <c r="C46" s="18" t="s">
        <v>64</v>
      </c>
      <c r="D46" s="18"/>
      <c r="E46" s="7"/>
    </row>
    <row r="47" spans="1:7">
      <c r="A47" s="18" t="s">
        <v>65</v>
      </c>
      <c r="B47" s="20">
        <v>13000000000</v>
      </c>
      <c r="C47" s="18" t="s">
        <v>92</v>
      </c>
      <c r="D47" s="18"/>
      <c r="E47" s="7"/>
    </row>
    <row r="48" spans="1:7">
      <c r="A48" s="18" t="s">
        <v>66</v>
      </c>
      <c r="B48" s="18">
        <f>4*B46*B47/(B40-B29)</f>
        <v>1489921875000000</v>
      </c>
      <c r="C48" s="18" t="s">
        <v>67</v>
      </c>
      <c r="D48" s="18"/>
      <c r="E48" s="7"/>
    </row>
    <row r="49" spans="1:7">
      <c r="A49" s="7"/>
      <c r="B49" s="7"/>
      <c r="C49" s="7"/>
      <c r="D49" s="7"/>
      <c r="E49" s="7"/>
    </row>
    <row r="50" spans="1:7">
      <c r="A50" s="29" t="s">
        <v>72</v>
      </c>
      <c r="B50" s="6"/>
      <c r="C50" s="6"/>
      <c r="D50" s="6"/>
      <c r="E50" s="6"/>
      <c r="F50" s="6"/>
      <c r="G50" s="6"/>
    </row>
    <row r="51" spans="1:7">
      <c r="A51" s="6" t="s">
        <v>76</v>
      </c>
      <c r="B51" s="6">
        <f>2*B16*B38*(B39-B28)/(0.5*B27*SIN(B32))</f>
        <v>28741052.955659091</v>
      </c>
      <c r="C51" s="6" t="s">
        <v>77</v>
      </c>
      <c r="D51" s="6"/>
      <c r="E51" s="6"/>
      <c r="F51" s="6"/>
      <c r="G51" s="6"/>
    </row>
    <row r="52" spans="1:7">
      <c r="A52" s="22" t="s">
        <v>78</v>
      </c>
      <c r="B52" s="6">
        <f>F2*COS(B32)*(0.25*(B27-B29)+0.5*(B40-B27))/(B40-B27)</f>
        <v>5425.1665810767909</v>
      </c>
      <c r="C52" s="6"/>
      <c r="D52" s="6"/>
      <c r="E52" s="30" t="s">
        <v>102</v>
      </c>
      <c r="F52" s="30"/>
      <c r="G52" s="30" t="s">
        <v>103</v>
      </c>
    </row>
    <row r="53" spans="1:7">
      <c r="A53" s="6" t="s">
        <v>79</v>
      </c>
      <c r="B53" s="6">
        <f>0.25*F2*COS(B32)*(B27-B29)/(B40-B27)</f>
        <v>493.19696191607187</v>
      </c>
      <c r="C53" s="6"/>
      <c r="D53" s="6"/>
      <c r="E53" s="7"/>
    </row>
    <row r="54" spans="1:7">
      <c r="A54" s="6" t="s">
        <v>31</v>
      </c>
      <c r="B54" s="6">
        <f>(B38*(B39-B28)^3)/12</f>
        <v>6152343.75</v>
      </c>
      <c r="C54" s="6"/>
      <c r="D54" s="6"/>
      <c r="E54" s="7"/>
    </row>
    <row r="55" spans="1:7">
      <c r="A55" s="6" t="s">
        <v>80</v>
      </c>
      <c r="B55" s="6">
        <f>-(B53*(0.5*B40)^3)/(3*B16*B54)+(B52*(3*0.5*B40-0.5*B27)*(0.5*B27)^2)/(6*B54*B16)</f>
        <v>7.5095833707385434E-3</v>
      </c>
      <c r="C55" s="6"/>
      <c r="D55" s="6"/>
      <c r="E55" s="7"/>
    </row>
    <row r="56" spans="1:7">
      <c r="A56" s="23" t="s">
        <v>23</v>
      </c>
      <c r="B56" s="23">
        <f>F38/B55</f>
        <v>1553570.4300356263</v>
      </c>
      <c r="C56" s="23"/>
      <c r="D56" s="23"/>
      <c r="E56" s="7"/>
    </row>
    <row r="57" spans="1:7">
      <c r="A57" s="9"/>
      <c r="B57" s="9"/>
      <c r="C57" s="9"/>
      <c r="D57" s="9"/>
      <c r="E57" s="7"/>
    </row>
    <row r="58" spans="1:7">
      <c r="A58" s="28" t="s">
        <v>73</v>
      </c>
      <c r="B58" s="25"/>
      <c r="C58" s="25"/>
      <c r="D58" s="25"/>
      <c r="E58" s="25"/>
      <c r="F58" s="25"/>
      <c r="G58" s="25"/>
    </row>
    <row r="59" spans="1:7">
      <c r="A59" s="25" t="s">
        <v>94</v>
      </c>
      <c r="B59" s="25"/>
      <c r="C59" s="25"/>
      <c r="D59" s="25"/>
      <c r="E59" s="25"/>
      <c r="F59" s="25"/>
      <c r="G59" s="25"/>
    </row>
    <row r="60" spans="1:7">
      <c r="A60" s="25" t="s">
        <v>95</v>
      </c>
      <c r="B60" s="25">
        <v>10</v>
      </c>
      <c r="C60" s="25" t="s">
        <v>96</v>
      </c>
      <c r="D60" s="25"/>
      <c r="E60" s="30" t="s">
        <v>102</v>
      </c>
      <c r="F60" s="33">
        <f>B63</f>
        <v>1413716.6941154068</v>
      </c>
      <c r="G60" s="30" t="s">
        <v>103</v>
      </c>
    </row>
    <row r="61" spans="1:7">
      <c r="A61" s="25" t="s">
        <v>97</v>
      </c>
      <c r="B61" s="27">
        <v>600</v>
      </c>
      <c r="C61" s="24" t="s">
        <v>7</v>
      </c>
      <c r="D61" s="25"/>
    </row>
    <row r="62" spans="1:7">
      <c r="A62" s="25" t="s">
        <v>58</v>
      </c>
      <c r="B62" s="27">
        <f>3000000000/(1000^2)</f>
        <v>3000</v>
      </c>
      <c r="C62" s="25" t="s">
        <v>104</v>
      </c>
      <c r="D62" s="25"/>
    </row>
    <row r="63" spans="1:7">
      <c r="A63" s="25" t="s">
        <v>93</v>
      </c>
      <c r="B63" s="27">
        <f>0.25*B62*PI()*(B61^2)/B61</f>
        <v>1413716.6941154068</v>
      </c>
      <c r="C63" s="25" t="s">
        <v>98</v>
      </c>
      <c r="D63" s="25"/>
    </row>
    <row r="64" spans="1:7">
      <c r="A64" s="25" t="s">
        <v>23</v>
      </c>
      <c r="B64" s="25" t="s">
        <v>99</v>
      </c>
      <c r="C64" s="25" t="s">
        <v>100</v>
      </c>
      <c r="D64" s="25"/>
    </row>
    <row r="66" spans="1:1">
      <c r="A66" s="26" t="s">
        <v>74</v>
      </c>
    </row>
    <row r="67" spans="1:1">
      <c r="A67" s="26"/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error_apportionment</vt:lpstr>
      <vt:lpstr>sizing components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Kwabena Arthur</dc:creator>
  <cp:lastModifiedBy>Kwabena Arthur</cp:lastModifiedBy>
  <dcterms:created xsi:type="dcterms:W3CDTF">2017-04-17T22:21:52Z</dcterms:created>
  <dcterms:modified xsi:type="dcterms:W3CDTF">2017-04-19T04:19:31Z</dcterms:modified>
</cp:coreProperties>
</file>